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 tabRatio="952" activeTab="1"/>
  </bookViews>
  <sheets>
    <sheet name="1день" sheetId="1" r:id="rId1"/>
    <sheet name="2 день" sheetId="10" r:id="rId2"/>
    <sheet name="3 день " sheetId="11" r:id="rId3"/>
    <sheet name="4 день  " sheetId="12" r:id="rId4"/>
    <sheet name="5 день" sheetId="13" r:id="rId5"/>
    <sheet name="6 день " sheetId="16" r:id="rId6"/>
    <sheet name="7 день" sheetId="15" r:id="rId7"/>
    <sheet name="8 день " sheetId="14" r:id="rId8"/>
    <sheet name="9 день " sheetId="17" r:id="rId9"/>
    <sheet name="10 день " sheetId="18" r:id="rId10"/>
    <sheet name="среднесуточный" sheetId="21" r:id="rId11"/>
    <sheet name="хим состав" sheetId="22" r:id="rId12"/>
    <sheet name="1" sheetId="23" r:id="rId13"/>
    <sheet name="Лист1" sheetId="2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</externalReferenc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21"/>
  <c r="X4"/>
  <c r="U4"/>
  <c r="V4"/>
  <c r="AA4"/>
  <c r="AB4"/>
  <c r="AC4"/>
  <c r="AD4" s="1"/>
  <c r="W5"/>
  <c r="X5"/>
  <c r="U5"/>
  <c r="V5"/>
  <c r="AA5"/>
  <c r="AB5"/>
  <c r="AC5"/>
  <c r="AD5" s="1"/>
  <c r="W6"/>
  <c r="X6"/>
  <c r="AA6"/>
  <c r="AB6"/>
  <c r="U7"/>
  <c r="V7"/>
  <c r="AC7"/>
  <c r="AD7"/>
  <c r="W9"/>
  <c r="W7" s="1"/>
  <c r="X9"/>
  <c r="X7" s="1"/>
  <c r="AA14"/>
  <c r="AA7" s="1"/>
  <c r="AB14"/>
  <c r="AB7" s="1"/>
  <c r="AC16"/>
  <c r="AD16"/>
  <c r="W17"/>
  <c r="X17"/>
  <c r="U17"/>
  <c r="V17"/>
  <c r="AC17"/>
  <c r="AD17"/>
  <c r="W19"/>
  <c r="X19"/>
  <c r="U19"/>
  <c r="V19"/>
  <c r="AA19"/>
  <c r="AB19"/>
  <c r="AC19"/>
  <c r="AD19"/>
  <c r="W20"/>
  <c r="X20"/>
  <c r="U20"/>
  <c r="V20"/>
  <c r="AA20"/>
  <c r="AB20"/>
  <c r="AC20"/>
  <c r="AD20"/>
  <c r="U21"/>
  <c r="V21"/>
  <c r="AA21"/>
  <c r="AB21"/>
  <c r="AC21"/>
  <c r="AD21"/>
  <c r="AC22"/>
  <c r="AD22"/>
  <c r="U25"/>
  <c r="V25"/>
  <c r="AC25"/>
  <c r="AD25"/>
  <c r="W26"/>
  <c r="X26"/>
  <c r="AA26"/>
  <c r="AB26"/>
  <c r="AC26"/>
  <c r="AD26"/>
  <c r="U27"/>
  <c r="V27"/>
  <c r="U28"/>
  <c r="V28"/>
  <c r="W29"/>
  <c r="X29"/>
  <c r="AA29"/>
  <c r="AB29"/>
  <c r="AC29"/>
  <c r="AD29"/>
  <c r="U30"/>
  <c r="V30"/>
  <c r="AA30"/>
  <c r="AB30"/>
  <c r="AC30"/>
  <c r="AD30"/>
  <c r="W37"/>
  <c r="W30" s="1"/>
  <c r="X37"/>
  <c r="X30" s="1"/>
  <c r="W38"/>
  <c r="X38"/>
  <c r="AA38"/>
  <c r="AB38"/>
  <c r="AC38"/>
  <c r="AD38"/>
  <c r="U40"/>
  <c r="U38" s="1"/>
  <c r="V40"/>
  <c r="V38" s="1"/>
  <c r="W43"/>
  <c r="X43"/>
  <c r="AC44"/>
  <c r="AD44"/>
  <c r="W46"/>
  <c r="X46"/>
  <c r="AA46"/>
  <c r="AB46"/>
  <c r="U47"/>
  <c r="V47"/>
  <c r="AA47"/>
  <c r="AB47"/>
  <c r="W48"/>
  <c r="X48"/>
  <c r="U48"/>
  <c r="AC48"/>
  <c r="AD48"/>
  <c r="U49"/>
  <c r="V49"/>
  <c r="V48" s="1"/>
  <c r="AA49"/>
  <c r="AA48" s="1"/>
  <c r="AB49"/>
  <c r="AB48" s="1"/>
  <c r="AA54"/>
  <c r="AB54"/>
  <c r="AC54"/>
  <c r="AD54"/>
  <c r="AC55"/>
  <c r="AD55"/>
  <c r="W56"/>
  <c r="X56"/>
  <c r="U56"/>
  <c r="V56"/>
  <c r="AA56"/>
  <c r="AB56"/>
  <c r="AC56"/>
  <c r="AD56"/>
  <c r="W57"/>
  <c r="X57"/>
  <c r="V57"/>
  <c r="AA57"/>
  <c r="AB57"/>
  <c r="AC57"/>
  <c r="AD57"/>
  <c r="AA58"/>
  <c r="AB58"/>
  <c r="U59"/>
  <c r="V59"/>
  <c r="AA59"/>
  <c r="AB59" s="1"/>
  <c r="AC59"/>
  <c r="AD59"/>
  <c r="W60"/>
  <c r="X60"/>
  <c r="U60"/>
  <c r="V60"/>
  <c r="AA60"/>
  <c r="AB60"/>
  <c r="AC61"/>
  <c r="AC60" s="1"/>
  <c r="AD61"/>
  <c r="AD60" s="1"/>
  <c r="AA62"/>
  <c r="AB62" s="1"/>
  <c r="AC66"/>
  <c r="AD66"/>
  <c r="W67"/>
  <c r="X67"/>
  <c r="U67"/>
  <c r="V67"/>
  <c r="AA67"/>
  <c r="AB67"/>
  <c r="AC67"/>
  <c r="AD67"/>
  <c r="AA68"/>
  <c r="AB68"/>
  <c r="AB18" l="1"/>
  <c r="X18"/>
  <c r="AC18"/>
  <c r="U18"/>
  <c r="AD18"/>
  <c r="V18"/>
  <c r="AA18"/>
  <c r="W18"/>
  <c r="P13" i="18"/>
  <c r="O13"/>
  <c r="N13"/>
  <c r="M13"/>
  <c r="L13"/>
  <c r="K13"/>
  <c r="J13"/>
  <c r="I13"/>
  <c r="H13"/>
  <c r="G13"/>
  <c r="F13"/>
  <c r="E13"/>
  <c r="E14" s="1"/>
  <c r="P10"/>
  <c r="O10"/>
  <c r="N10"/>
  <c r="M10"/>
  <c r="L10"/>
  <c r="K10"/>
  <c r="J10"/>
  <c r="I10"/>
  <c r="H10"/>
  <c r="G10"/>
  <c r="F10"/>
  <c r="E10"/>
  <c r="P9"/>
  <c r="O9"/>
  <c r="N9"/>
  <c r="M9"/>
  <c r="L9"/>
  <c r="K9"/>
  <c r="J9"/>
  <c r="I9"/>
  <c r="H9"/>
  <c r="G9"/>
  <c r="F9"/>
  <c r="E9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P14"/>
  <c r="D14"/>
  <c r="F14"/>
  <c r="H14"/>
  <c r="I14"/>
  <c r="K14"/>
  <c r="L14"/>
  <c r="M14"/>
  <c r="O14"/>
  <c r="K5" i="21"/>
  <c r="L5" s="1"/>
  <c r="K4"/>
  <c r="L4" s="1"/>
  <c r="L67"/>
  <c r="K67"/>
  <c r="L60"/>
  <c r="K60"/>
  <c r="L58"/>
  <c r="K58"/>
  <c r="L57"/>
  <c r="K57"/>
  <c r="L56"/>
  <c r="K56"/>
  <c r="L49"/>
  <c r="L48" s="1"/>
  <c r="K49"/>
  <c r="K48" s="1"/>
  <c r="L44"/>
  <c r="K44"/>
  <c r="L38"/>
  <c r="K38"/>
  <c r="L37"/>
  <c r="L30" s="1"/>
  <c r="K37"/>
  <c r="K30" s="1"/>
  <c r="L26"/>
  <c r="K26"/>
  <c r="L20"/>
  <c r="K20"/>
  <c r="L19"/>
  <c r="K19"/>
  <c r="L17"/>
  <c r="K17"/>
  <c r="L7"/>
  <c r="K7"/>
  <c r="P11" i="1"/>
  <c r="O11"/>
  <c r="N11"/>
  <c r="M11"/>
  <c r="L11"/>
  <c r="K11"/>
  <c r="J11"/>
  <c r="I11"/>
  <c r="H11"/>
  <c r="G11"/>
  <c r="F11"/>
  <c r="E11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Q49" i="21"/>
  <c r="R49" s="1"/>
  <c r="Q62"/>
  <c r="R62" s="1"/>
  <c r="Q59"/>
  <c r="R59" s="1"/>
  <c r="P11" i="12"/>
  <c r="O11"/>
  <c r="N11"/>
  <c r="M11"/>
  <c r="L11"/>
  <c r="K11"/>
  <c r="J11"/>
  <c r="I11"/>
  <c r="H11"/>
  <c r="G11"/>
  <c r="F11"/>
  <c r="E11"/>
  <c r="L18" i="21" l="1"/>
  <c r="K18"/>
  <c r="G14" i="18"/>
  <c r="J14"/>
  <c r="N14"/>
  <c r="P12" i="17"/>
  <c r="O12"/>
  <c r="N12"/>
  <c r="M12"/>
  <c r="L12"/>
  <c r="K12"/>
  <c r="J12"/>
  <c r="I12"/>
  <c r="G12"/>
  <c r="F12"/>
  <c r="E12"/>
  <c r="H12"/>
  <c r="P7" i="16" l="1"/>
  <c r="O7"/>
  <c r="N7"/>
  <c r="M7"/>
  <c r="L7"/>
  <c r="K7"/>
  <c r="J7"/>
  <c r="I7"/>
  <c r="G7"/>
  <c r="F7"/>
  <c r="E7"/>
  <c r="H7"/>
  <c r="O4" i="21" l="1"/>
  <c r="O56" l="1"/>
  <c r="P56" s="1"/>
  <c r="P49"/>
  <c r="O49"/>
  <c r="P14"/>
  <c r="O14"/>
  <c r="P8" i="11"/>
  <c r="O8"/>
  <c r="N8"/>
  <c r="M8"/>
  <c r="L8"/>
  <c r="K8"/>
  <c r="J8"/>
  <c r="I8"/>
  <c r="H8"/>
  <c r="G8"/>
  <c r="G7"/>
  <c r="F8"/>
  <c r="E8"/>
  <c r="O67" i="21" l="1"/>
  <c r="P58"/>
  <c r="O58"/>
  <c r="P20"/>
  <c r="O20"/>
  <c r="P47"/>
  <c r="O47"/>
  <c r="P67" l="1"/>
  <c r="P26"/>
  <c r="O26"/>
  <c r="P19"/>
  <c r="O19"/>
  <c r="P17"/>
  <c r="O17"/>
  <c r="P5"/>
  <c r="O5"/>
  <c r="P4"/>
  <c r="P12" i="11" l="1"/>
  <c r="O12"/>
  <c r="N12"/>
  <c r="M12"/>
  <c r="L12"/>
  <c r="K12"/>
  <c r="J12"/>
  <c r="I12"/>
  <c r="H12"/>
  <c r="G12"/>
  <c r="F12"/>
  <c r="E12"/>
  <c r="P9"/>
  <c r="O9"/>
  <c r="N9"/>
  <c r="M9"/>
  <c r="L9"/>
  <c r="K9"/>
  <c r="J9"/>
  <c r="I9"/>
  <c r="H9"/>
  <c r="G9"/>
  <c r="F9"/>
  <c r="E9"/>
  <c r="P7"/>
  <c r="O7"/>
  <c r="N7"/>
  <c r="M7"/>
  <c r="L7"/>
  <c r="K7"/>
  <c r="J7"/>
  <c r="I7"/>
  <c r="H7"/>
  <c r="F7"/>
  <c r="E7"/>
  <c r="P6"/>
  <c r="O6"/>
  <c r="N6"/>
  <c r="M6"/>
  <c r="L6"/>
  <c r="K6"/>
  <c r="J6"/>
  <c r="I6"/>
  <c r="H6"/>
  <c r="G6"/>
  <c r="F6"/>
  <c r="E6"/>
  <c r="P59" i="21"/>
  <c r="O59"/>
  <c r="P39"/>
  <c r="O39"/>
  <c r="P12" i="16" l="1"/>
  <c r="O12"/>
  <c r="N12"/>
  <c r="M12"/>
  <c r="L12"/>
  <c r="K12"/>
  <c r="J12"/>
  <c r="I12"/>
  <c r="H12"/>
  <c r="G12"/>
  <c r="F12"/>
  <c r="E12"/>
  <c r="P8"/>
  <c r="O8"/>
  <c r="N8"/>
  <c r="M8"/>
  <c r="L8"/>
  <c r="K8"/>
  <c r="J8"/>
  <c r="I8"/>
  <c r="H8"/>
  <c r="G8"/>
  <c r="F8"/>
  <c r="E8"/>
  <c r="P6"/>
  <c r="O6"/>
  <c r="N6"/>
  <c r="M6"/>
  <c r="L6"/>
  <c r="K6"/>
  <c r="J6"/>
  <c r="I6"/>
  <c r="H6"/>
  <c r="G6"/>
  <c r="F6"/>
  <c r="E6"/>
  <c r="P11" i="15"/>
  <c r="O11"/>
  <c r="N11"/>
  <c r="M11"/>
  <c r="L11"/>
  <c r="K11"/>
  <c r="J11"/>
  <c r="I11"/>
  <c r="H11"/>
  <c r="G11"/>
  <c r="F11"/>
  <c r="E11"/>
  <c r="P8"/>
  <c r="O8"/>
  <c r="N8"/>
  <c r="M8"/>
  <c r="L8"/>
  <c r="K8"/>
  <c r="J8"/>
  <c r="I8"/>
  <c r="H8"/>
  <c r="G8"/>
  <c r="F8"/>
  <c r="E8"/>
  <c r="S67" i="21" l="1"/>
  <c r="S56"/>
  <c r="T56" s="1"/>
  <c r="T49"/>
  <c r="S49"/>
  <c r="T17"/>
  <c r="S17"/>
  <c r="T5"/>
  <c r="S5"/>
  <c r="T4"/>
  <c r="S4"/>
  <c r="P12" i="13"/>
  <c r="O12"/>
  <c r="N12"/>
  <c r="M12"/>
  <c r="L12"/>
  <c r="K12"/>
  <c r="J12"/>
  <c r="I12"/>
  <c r="H12"/>
  <c r="G12"/>
  <c r="F12"/>
  <c r="E12"/>
  <c r="P9"/>
  <c r="O9"/>
  <c r="N9"/>
  <c r="M9"/>
  <c r="L9"/>
  <c r="K9"/>
  <c r="J9"/>
  <c r="I9"/>
  <c r="H9"/>
  <c r="G9"/>
  <c r="F9"/>
  <c r="E9"/>
  <c r="P8"/>
  <c r="O8"/>
  <c r="N8"/>
  <c r="M8"/>
  <c r="L8"/>
  <c r="K8"/>
  <c r="J8"/>
  <c r="I8"/>
  <c r="H8"/>
  <c r="G8"/>
  <c r="F8"/>
  <c r="E8"/>
  <c r="T20" i="21" l="1"/>
  <c r="S20"/>
  <c r="T19"/>
  <c r="S19"/>
  <c r="T29"/>
  <c r="S29"/>
  <c r="T46"/>
  <c r="S46"/>
  <c r="T57" l="1"/>
  <c r="S57"/>
  <c r="T6"/>
  <c r="S6"/>
  <c r="T26"/>
  <c r="S26"/>
  <c r="T21"/>
  <c r="S21"/>
  <c r="T67" l="1"/>
  <c r="P7" i="13" l="1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T47" i="21"/>
  <c r="S47"/>
  <c r="H13" l="1"/>
  <c r="P9" i="17" l="1"/>
  <c r="O9"/>
  <c r="N9"/>
  <c r="M9"/>
  <c r="L9"/>
  <c r="K9"/>
  <c r="J9"/>
  <c r="I9"/>
  <c r="H9"/>
  <c r="G9"/>
  <c r="F9"/>
  <c r="E9"/>
  <c r="P8"/>
  <c r="O8"/>
  <c r="N8"/>
  <c r="M8"/>
  <c r="L8"/>
  <c r="K8"/>
  <c r="J8"/>
  <c r="I8"/>
  <c r="H8"/>
  <c r="G8"/>
  <c r="F8"/>
  <c r="E8"/>
  <c r="T59" i="21" l="1"/>
  <c r="S59"/>
  <c r="T40"/>
  <c r="S40"/>
  <c r="R67" l="1"/>
  <c r="Q67"/>
  <c r="R56"/>
  <c r="Q56"/>
  <c r="R26"/>
  <c r="Q26"/>
  <c r="R20"/>
  <c r="Q20"/>
  <c r="R19"/>
  <c r="Q19"/>
  <c r="R17"/>
  <c r="Q17"/>
  <c r="R58"/>
  <c r="Q57"/>
  <c r="R57" s="1"/>
  <c r="P6" i="12"/>
  <c r="O6"/>
  <c r="N6"/>
  <c r="M6"/>
  <c r="L6"/>
  <c r="K6"/>
  <c r="J6"/>
  <c r="I6"/>
  <c r="H6"/>
  <c r="G6"/>
  <c r="F6"/>
  <c r="E6"/>
  <c r="Z57" i="21" l="1"/>
  <c r="Y57"/>
  <c r="Z20"/>
  <c r="Y20"/>
  <c r="Z19"/>
  <c r="Y19"/>
  <c r="Z22"/>
  <c r="Y22"/>
  <c r="Z17"/>
  <c r="Y17"/>
  <c r="H7" i="14" l="1"/>
  <c r="P9"/>
  <c r="O9"/>
  <c r="N9"/>
  <c r="M9"/>
  <c r="L9"/>
  <c r="K9"/>
  <c r="J9"/>
  <c r="I9"/>
  <c r="H9"/>
  <c r="G9"/>
  <c r="F9"/>
  <c r="E9"/>
  <c r="Z56" i="21" l="1"/>
  <c r="Y56"/>
  <c r="Z15"/>
  <c r="Y15"/>
  <c r="Z21"/>
  <c r="Y21"/>
  <c r="Z44"/>
  <c r="Y44"/>
  <c r="P10" i="14"/>
  <c r="O10"/>
  <c r="N10"/>
  <c r="M10"/>
  <c r="L10"/>
  <c r="K10"/>
  <c r="J10"/>
  <c r="I10"/>
  <c r="H10"/>
  <c r="G10"/>
  <c r="F10"/>
  <c r="E10"/>
  <c r="Z67" i="21" l="1"/>
  <c r="Y67"/>
  <c r="Z55"/>
  <c r="Y55"/>
  <c r="D15" i="13" l="1"/>
  <c r="D15" i="1" l="1"/>
  <c r="D15" i="11"/>
  <c r="C6" i="22" s="1"/>
  <c r="M60" i="21"/>
  <c r="N60"/>
  <c r="O60"/>
  <c r="P60"/>
  <c r="Q60"/>
  <c r="R60"/>
  <c r="S60"/>
  <c r="T60"/>
  <c r="P8" i="12" l="1"/>
  <c r="O8"/>
  <c r="N8"/>
  <c r="M8"/>
  <c r="L8"/>
  <c r="K8"/>
  <c r="J8"/>
  <c r="I8"/>
  <c r="H8"/>
  <c r="G8"/>
  <c r="F8"/>
  <c r="E8"/>
  <c r="E7" i="17" l="1"/>
  <c r="F7"/>
  <c r="G7"/>
  <c r="H7"/>
  <c r="I7"/>
  <c r="J7"/>
  <c r="K7"/>
  <c r="L7"/>
  <c r="M7"/>
  <c r="N7"/>
  <c r="O7"/>
  <c r="P7"/>
  <c r="P6" l="1"/>
  <c r="O6"/>
  <c r="N6"/>
  <c r="M6"/>
  <c r="L6"/>
  <c r="K6"/>
  <c r="J6"/>
  <c r="I6"/>
  <c r="H6"/>
  <c r="G6"/>
  <c r="F6"/>
  <c r="E6"/>
  <c r="Z61" i="21" l="1"/>
  <c r="Z60" s="1"/>
  <c r="Y61"/>
  <c r="Y60" s="1"/>
  <c r="D61"/>
  <c r="I61" l="1"/>
  <c r="E61" s="1"/>
  <c r="H61" s="1"/>
  <c r="J61"/>
  <c r="F61" s="1"/>
  <c r="H14" i="17" l="1"/>
  <c r="P9" i="16"/>
  <c r="O9"/>
  <c r="N9"/>
  <c r="M9"/>
  <c r="L9"/>
  <c r="K9"/>
  <c r="J9"/>
  <c r="I9"/>
  <c r="H9"/>
  <c r="G9"/>
  <c r="F9"/>
  <c r="E9"/>
  <c r="P7" i="15" l="1"/>
  <c r="O7"/>
  <c r="N7"/>
  <c r="M7"/>
  <c r="L7"/>
  <c r="K7"/>
  <c r="J7"/>
  <c r="I7"/>
  <c r="H7"/>
  <c r="G7"/>
  <c r="F7"/>
  <c r="E7"/>
  <c r="Z59" i="21" l="1"/>
  <c r="Y59"/>
  <c r="Z66"/>
  <c r="Y66"/>
  <c r="Z5" l="1"/>
  <c r="Y5"/>
  <c r="Z4"/>
  <c r="Y4"/>
  <c r="Z6"/>
  <c r="Y6"/>
  <c r="Z49"/>
  <c r="Y49"/>
  <c r="Z29" l="1"/>
  <c r="Y29"/>
  <c r="Z26" l="1"/>
  <c r="Y26"/>
  <c r="Z25"/>
  <c r="Y25"/>
  <c r="R52" l="1"/>
  <c r="Q52"/>
  <c r="R5" l="1"/>
  <c r="R4"/>
  <c r="Q5"/>
  <c r="Q4"/>
  <c r="R68"/>
  <c r="Q68"/>
  <c r="R55"/>
  <c r="Q55"/>
  <c r="Q58"/>
  <c r="R6"/>
  <c r="Q6"/>
  <c r="R11"/>
  <c r="Q11"/>
  <c r="R53"/>
  <c r="Q53"/>
  <c r="P37" l="1"/>
  <c r="O37"/>
  <c r="P57" l="1"/>
  <c r="O57"/>
  <c r="N43" l="1"/>
  <c r="M43"/>
  <c r="N5"/>
  <c r="M5"/>
  <c r="N4"/>
  <c r="M4"/>
  <c r="N67"/>
  <c r="M67"/>
  <c r="N56"/>
  <c r="M56"/>
  <c r="N26"/>
  <c r="M26"/>
  <c r="N20"/>
  <c r="M20"/>
  <c r="N44"/>
  <c r="M44"/>
  <c r="N17"/>
  <c r="M17"/>
  <c r="N29" l="1"/>
  <c r="M29"/>
  <c r="N19"/>
  <c r="M19"/>
  <c r="N9" l="1"/>
  <c r="M9"/>
  <c r="N28" l="1"/>
  <c r="M28"/>
  <c r="D5" l="1"/>
  <c r="D6"/>
  <c r="D7"/>
  <c r="D16"/>
  <c r="D17"/>
  <c r="D18"/>
  <c r="D30"/>
  <c r="D38"/>
  <c r="D43"/>
  <c r="D44"/>
  <c r="D45"/>
  <c r="D46"/>
  <c r="D47"/>
  <c r="D48"/>
  <c r="D52"/>
  <c r="D53"/>
  <c r="D54"/>
  <c r="D55"/>
  <c r="D56"/>
  <c r="D57"/>
  <c r="D58"/>
  <c r="D59"/>
  <c r="D60"/>
  <c r="D62"/>
  <c r="D63"/>
  <c r="D64"/>
  <c r="D65"/>
  <c r="D66"/>
  <c r="D67"/>
  <c r="D68"/>
  <c r="D4"/>
  <c r="J68"/>
  <c r="F68" s="1"/>
  <c r="H68" s="1"/>
  <c r="I68"/>
  <c r="E68" s="1"/>
  <c r="J67"/>
  <c r="F67" s="1"/>
  <c r="H67" s="1"/>
  <c r="I67"/>
  <c r="E67" s="1"/>
  <c r="J66"/>
  <c r="F66" s="1"/>
  <c r="H66" s="1"/>
  <c r="I66"/>
  <c r="E66" s="1"/>
  <c r="J65"/>
  <c r="F65" s="1"/>
  <c r="H65" s="1"/>
  <c r="I65"/>
  <c r="E65" s="1"/>
  <c r="J64"/>
  <c r="F64" s="1"/>
  <c r="G64" s="1"/>
  <c r="I64"/>
  <c r="E64" s="1"/>
  <c r="H64" s="1"/>
  <c r="J63"/>
  <c r="F63" s="1"/>
  <c r="G63" s="1"/>
  <c r="I63"/>
  <c r="E63" s="1"/>
  <c r="H63" s="1"/>
  <c r="J62"/>
  <c r="F62" s="1"/>
  <c r="I62"/>
  <c r="E62" s="1"/>
  <c r="H62" s="1"/>
  <c r="J60"/>
  <c r="F60" s="1"/>
  <c r="J59"/>
  <c r="F59" s="1"/>
  <c r="I59"/>
  <c r="E59" s="1"/>
  <c r="H59" s="1"/>
  <c r="J58"/>
  <c r="F58" s="1"/>
  <c r="I58"/>
  <c r="E58" s="1"/>
  <c r="H58" s="1"/>
  <c r="J57"/>
  <c r="F57" s="1"/>
  <c r="I57"/>
  <c r="E57" s="1"/>
  <c r="H57" s="1"/>
  <c r="J56"/>
  <c r="F56" s="1"/>
  <c r="G56" s="1"/>
  <c r="I56"/>
  <c r="E56" s="1"/>
  <c r="H56" s="1"/>
  <c r="J55"/>
  <c r="F55" s="1"/>
  <c r="G55" s="1"/>
  <c r="I55"/>
  <c r="E55" s="1"/>
  <c r="H55" s="1"/>
  <c r="J54"/>
  <c r="F54" s="1"/>
  <c r="G54" s="1"/>
  <c r="I54"/>
  <c r="E54" s="1"/>
  <c r="H54" s="1"/>
  <c r="J53"/>
  <c r="F53" s="1"/>
  <c r="I53"/>
  <c r="E53" s="1"/>
  <c r="H53" s="1"/>
  <c r="J52"/>
  <c r="F52" s="1"/>
  <c r="G52" s="1"/>
  <c r="I52"/>
  <c r="E52" s="1"/>
  <c r="H52" s="1"/>
  <c r="Z48"/>
  <c r="R48"/>
  <c r="J51"/>
  <c r="F51" s="1"/>
  <c r="I51"/>
  <c r="E51" s="1"/>
  <c r="H51" s="1"/>
  <c r="J50"/>
  <c r="F50" s="1"/>
  <c r="I50"/>
  <c r="E50" s="1"/>
  <c r="H50" s="1"/>
  <c r="T48"/>
  <c r="J49"/>
  <c r="F49" s="1"/>
  <c r="I49"/>
  <c r="E49" s="1"/>
  <c r="H49" s="1"/>
  <c r="Y48"/>
  <c r="S48"/>
  <c r="Q48"/>
  <c r="O48"/>
  <c r="M48"/>
  <c r="J47"/>
  <c r="F47" s="1"/>
  <c r="G47" s="1"/>
  <c r="I47"/>
  <c r="E47" s="1"/>
  <c r="H47" s="1"/>
  <c r="J46"/>
  <c r="F46" s="1"/>
  <c r="I46"/>
  <c r="E46" s="1"/>
  <c r="H46" s="1"/>
  <c r="J45"/>
  <c r="F45" s="1"/>
  <c r="G45" s="1"/>
  <c r="I45"/>
  <c r="E45" s="1"/>
  <c r="H45" s="1"/>
  <c r="J44"/>
  <c r="F44" s="1"/>
  <c r="I44"/>
  <c r="E44" s="1"/>
  <c r="H44" s="1"/>
  <c r="J43"/>
  <c r="F43" s="1"/>
  <c r="G43" s="1"/>
  <c r="I43"/>
  <c r="E43" s="1"/>
  <c r="H43" s="1"/>
  <c r="J42"/>
  <c r="F42" s="1"/>
  <c r="I42"/>
  <c r="E42" s="1"/>
  <c r="H42" s="1"/>
  <c r="J41"/>
  <c r="F41" s="1"/>
  <c r="I41"/>
  <c r="E41" s="1"/>
  <c r="H41" s="1"/>
  <c r="J40"/>
  <c r="F40" s="1"/>
  <c r="I40"/>
  <c r="E40" s="1"/>
  <c r="H40" s="1"/>
  <c r="J39"/>
  <c r="F39" s="1"/>
  <c r="I39"/>
  <c r="E39" s="1"/>
  <c r="H39" s="1"/>
  <c r="Z38"/>
  <c r="Y38"/>
  <c r="T38"/>
  <c r="S38"/>
  <c r="R38"/>
  <c r="Q38"/>
  <c r="P38"/>
  <c r="O38"/>
  <c r="N38"/>
  <c r="M38"/>
  <c r="R30"/>
  <c r="N30"/>
  <c r="J37"/>
  <c r="F37" s="1"/>
  <c r="I37"/>
  <c r="E37" s="1"/>
  <c r="H37" s="1"/>
  <c r="J36"/>
  <c r="F36" s="1"/>
  <c r="I36"/>
  <c r="E36" s="1"/>
  <c r="H36" s="1"/>
  <c r="J35"/>
  <c r="F35" s="1"/>
  <c r="I35"/>
  <c r="E35" s="1"/>
  <c r="H35" s="1"/>
  <c r="J34"/>
  <c r="F34" s="1"/>
  <c r="I34"/>
  <c r="E34" s="1"/>
  <c r="H34" s="1"/>
  <c r="J33"/>
  <c r="F33" s="1"/>
  <c r="I33"/>
  <c r="E33" s="1"/>
  <c r="H33" s="1"/>
  <c r="J32"/>
  <c r="F32" s="1"/>
  <c r="I32"/>
  <c r="E32" s="1"/>
  <c r="H32" s="1"/>
  <c r="J31"/>
  <c r="F31" s="1"/>
  <c r="I31"/>
  <c r="E31" s="1"/>
  <c r="H31" s="1"/>
  <c r="Z30"/>
  <c r="Y30"/>
  <c r="T30"/>
  <c r="S30"/>
  <c r="Q30"/>
  <c r="P30"/>
  <c r="O30"/>
  <c r="M30"/>
  <c r="J29"/>
  <c r="F29" s="1"/>
  <c r="I29"/>
  <c r="E29" s="1"/>
  <c r="H29" s="1"/>
  <c r="J28"/>
  <c r="F28" s="1"/>
  <c r="I28"/>
  <c r="E28" s="1"/>
  <c r="H28" s="1"/>
  <c r="J27"/>
  <c r="F27" s="1"/>
  <c r="I27"/>
  <c r="E27" s="1"/>
  <c r="H27" s="1"/>
  <c r="J26"/>
  <c r="F26" s="1"/>
  <c r="I26"/>
  <c r="E26" s="1"/>
  <c r="H26" s="1"/>
  <c r="J25"/>
  <c r="F25" s="1"/>
  <c r="I25"/>
  <c r="E25" s="1"/>
  <c r="H25" s="1"/>
  <c r="J24"/>
  <c r="F24" s="1"/>
  <c r="I24"/>
  <c r="E24" s="1"/>
  <c r="H24" s="1"/>
  <c r="J23"/>
  <c r="F23" s="1"/>
  <c r="I23"/>
  <c r="E23" s="1"/>
  <c r="H23" s="1"/>
  <c r="J22"/>
  <c r="F22" s="1"/>
  <c r="I22"/>
  <c r="E22" s="1"/>
  <c r="H22" s="1"/>
  <c r="J21"/>
  <c r="F21" s="1"/>
  <c r="I21"/>
  <c r="E21" s="1"/>
  <c r="H21" s="1"/>
  <c r="Z18"/>
  <c r="R18"/>
  <c r="P18"/>
  <c r="J20"/>
  <c r="F20" s="1"/>
  <c r="I20"/>
  <c r="E20" s="1"/>
  <c r="H20" s="1"/>
  <c r="J19"/>
  <c r="F19" s="1"/>
  <c r="I19"/>
  <c r="E19" s="1"/>
  <c r="H19" s="1"/>
  <c r="Y18"/>
  <c r="T18"/>
  <c r="S18"/>
  <c r="Q18"/>
  <c r="O18"/>
  <c r="N18"/>
  <c r="M18"/>
  <c r="J17"/>
  <c r="F17" s="1"/>
  <c r="G17" s="1"/>
  <c r="I17"/>
  <c r="E17" s="1"/>
  <c r="H17" s="1"/>
  <c r="J16"/>
  <c r="F16" s="1"/>
  <c r="I16"/>
  <c r="E16" s="1"/>
  <c r="H16" s="1"/>
  <c r="J15"/>
  <c r="F15" s="1"/>
  <c r="I15"/>
  <c r="E15" s="1"/>
  <c r="H15" s="1"/>
  <c r="J14"/>
  <c r="F14" s="1"/>
  <c r="I14"/>
  <c r="E14" s="1"/>
  <c r="H14" s="1"/>
  <c r="J13"/>
  <c r="F13" s="1"/>
  <c r="I13"/>
  <c r="E13" s="1"/>
  <c r="J12"/>
  <c r="F12" s="1"/>
  <c r="I12"/>
  <c r="E12" s="1"/>
  <c r="H12" s="1"/>
  <c r="J11"/>
  <c r="F11" s="1"/>
  <c r="I11"/>
  <c r="E11" s="1"/>
  <c r="H11" s="1"/>
  <c r="T7"/>
  <c r="J10"/>
  <c r="F10" s="1"/>
  <c r="I10"/>
  <c r="E10" s="1"/>
  <c r="H10" s="1"/>
  <c r="J9"/>
  <c r="F9" s="1"/>
  <c r="I9"/>
  <c r="E9" s="1"/>
  <c r="H9" s="1"/>
  <c r="J8"/>
  <c r="F8" s="1"/>
  <c r="H8" s="1"/>
  <c r="I8"/>
  <c r="E8" s="1"/>
  <c r="Z7"/>
  <c r="Y7"/>
  <c r="S7"/>
  <c r="R7"/>
  <c r="Q7"/>
  <c r="P7"/>
  <c r="O7"/>
  <c r="N7"/>
  <c r="M7"/>
  <c r="J6"/>
  <c r="F6" s="1"/>
  <c r="G6" s="1"/>
  <c r="I6"/>
  <c r="E6" s="1"/>
  <c r="H6" s="1"/>
  <c r="J5"/>
  <c r="F5" s="1"/>
  <c r="G5" s="1"/>
  <c r="I5"/>
  <c r="E5" s="1"/>
  <c r="H5" s="1"/>
  <c r="J4"/>
  <c r="F4" s="1"/>
  <c r="G4" s="1"/>
  <c r="I4"/>
  <c r="E4" s="1"/>
  <c r="H4" s="1"/>
  <c r="G58" l="1"/>
  <c r="J38"/>
  <c r="F38" s="1"/>
  <c r="I38"/>
  <c r="E38" s="1"/>
  <c r="G46"/>
  <c r="G60"/>
  <c r="G68"/>
  <c r="I30"/>
  <c r="E30" s="1"/>
  <c r="G16"/>
  <c r="G38"/>
  <c r="G44"/>
  <c r="G53"/>
  <c r="G57"/>
  <c r="G59"/>
  <c r="G62"/>
  <c r="G66"/>
  <c r="G65"/>
  <c r="I7"/>
  <c r="E7" s="1"/>
  <c r="I48"/>
  <c r="E48" s="1"/>
  <c r="G67"/>
  <c r="I60"/>
  <c r="E60" s="1"/>
  <c r="J30"/>
  <c r="F30" s="1"/>
  <c r="G30" s="1"/>
  <c r="J18"/>
  <c r="F18" s="1"/>
  <c r="G18" s="1"/>
  <c r="J7"/>
  <c r="F7" s="1"/>
  <c r="G7" s="1"/>
  <c r="I18"/>
  <c r="E18" s="1"/>
  <c r="N48"/>
  <c r="P48"/>
  <c r="H69" l="1"/>
  <c r="J48"/>
  <c r="F48" s="1"/>
  <c r="G48" s="1"/>
  <c r="P6" i="15" l="1"/>
  <c r="O6"/>
  <c r="N6"/>
  <c r="M6"/>
  <c r="L6"/>
  <c r="K6"/>
  <c r="J6"/>
  <c r="I6"/>
  <c r="H6"/>
  <c r="G6"/>
  <c r="F6"/>
  <c r="E6"/>
  <c r="P13" i="14"/>
  <c r="O13"/>
  <c r="N13"/>
  <c r="M13"/>
  <c r="L13"/>
  <c r="K13"/>
  <c r="J13"/>
  <c r="I13"/>
  <c r="H13"/>
  <c r="G13"/>
  <c r="F13"/>
  <c r="E13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G7"/>
  <c r="F7"/>
  <c r="E7"/>
  <c r="P6"/>
  <c r="O6"/>
  <c r="N6"/>
  <c r="M6"/>
  <c r="L6"/>
  <c r="K6"/>
  <c r="J6"/>
  <c r="I6"/>
  <c r="H6"/>
  <c r="G6"/>
  <c r="F6"/>
  <c r="E6"/>
  <c r="C8" i="22"/>
  <c r="P12" i="12"/>
  <c r="O12"/>
  <c r="N12"/>
  <c r="M12"/>
  <c r="L12"/>
  <c r="K12"/>
  <c r="J12"/>
  <c r="I12"/>
  <c r="H12"/>
  <c r="G12"/>
  <c r="F12"/>
  <c r="E12"/>
  <c r="P7"/>
  <c r="O7"/>
  <c r="N7"/>
  <c r="M7"/>
  <c r="L7"/>
  <c r="K7"/>
  <c r="J7"/>
  <c r="I7"/>
  <c r="H7"/>
  <c r="G7"/>
  <c r="F7"/>
  <c r="E7"/>
  <c r="P12" i="10"/>
  <c r="O12"/>
  <c r="N12"/>
  <c r="M12"/>
  <c r="L12"/>
  <c r="K12"/>
  <c r="J12"/>
  <c r="I12"/>
  <c r="H12"/>
  <c r="G12"/>
  <c r="F12"/>
  <c r="E12"/>
  <c r="P9"/>
  <c r="O9"/>
  <c r="N9"/>
  <c r="M9"/>
  <c r="L9"/>
  <c r="K9"/>
  <c r="J9"/>
  <c r="I9"/>
  <c r="H9"/>
  <c r="G9"/>
  <c r="F9"/>
  <c r="E9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O15" i="11" l="1"/>
  <c r="N6" i="22" s="1"/>
  <c r="F15" i="1"/>
  <c r="H15"/>
  <c r="J15"/>
  <c r="L15"/>
  <c r="N15"/>
  <c r="P15"/>
  <c r="N15" i="11"/>
  <c r="M6" i="22" s="1"/>
  <c r="F15" i="11"/>
  <c r="E6" i="22" s="1"/>
  <c r="H15" i="11"/>
  <c r="G6" i="22" s="1"/>
  <c r="J15" i="11"/>
  <c r="I6" i="22" s="1"/>
  <c r="L15" i="11"/>
  <c r="K6" i="22" s="1"/>
  <c r="E15" i="1"/>
  <c r="G15"/>
  <c r="I15"/>
  <c r="K15"/>
  <c r="M15"/>
  <c r="O15"/>
  <c r="E15" i="11"/>
  <c r="D6" i="22" s="1"/>
  <c r="G15" i="11"/>
  <c r="F6" i="22" s="1"/>
  <c r="I15" i="11"/>
  <c r="H6" i="22" s="1"/>
  <c r="K15" i="11"/>
  <c r="J6" i="22" s="1"/>
  <c r="M15" i="11"/>
  <c r="L6" i="22" s="1"/>
  <c r="P15" i="11"/>
  <c r="O6" i="22" s="1"/>
  <c r="E15" i="13"/>
  <c r="D8" i="22" s="1"/>
  <c r="F15" i="13"/>
  <c r="E8" i="22" s="1"/>
  <c r="G15" i="13"/>
  <c r="F8" i="22" s="1"/>
  <c r="H15" i="13"/>
  <c r="G8" i="22" s="1"/>
  <c r="I15" i="13"/>
  <c r="H8" i="22" s="1"/>
  <c r="J15" i="13"/>
  <c r="I8" i="22" s="1"/>
  <c r="K15" i="13"/>
  <c r="J8" i="22" s="1"/>
  <c r="L15" i="13"/>
  <c r="K8" i="22" s="1"/>
  <c r="M15" i="13"/>
  <c r="L8" i="22" s="1"/>
  <c r="N15" i="13"/>
  <c r="M8" i="22" s="1"/>
  <c r="O15" i="13"/>
  <c r="N8" i="22" s="1"/>
  <c r="P15" i="13"/>
  <c r="O8" i="22" s="1"/>
  <c r="O17" i="23" l="1"/>
  <c r="P17"/>
  <c r="O18"/>
  <c r="P18"/>
  <c r="O19"/>
  <c r="P19"/>
  <c r="O20"/>
  <c r="P20"/>
  <c r="O21"/>
  <c r="P21"/>
  <c r="O22"/>
  <c r="P22"/>
  <c r="O23"/>
  <c r="P23"/>
  <c r="P16"/>
  <c r="O16"/>
  <c r="C13" i="22"/>
  <c r="I13" l="1"/>
  <c r="K13"/>
  <c r="M13"/>
  <c r="O13"/>
  <c r="H13"/>
  <c r="J13"/>
  <c r="L13"/>
  <c r="N13"/>
  <c r="G16" i="18" l="1"/>
  <c r="F13" i="22"/>
  <c r="H16" i="18"/>
  <c r="G13" i="22"/>
  <c r="E16" i="18"/>
  <c r="D13" i="22"/>
  <c r="F16" i="18"/>
  <c r="E13" i="22"/>
  <c r="L17" i="23" l="1"/>
  <c r="M17"/>
  <c r="L18"/>
  <c r="M18"/>
  <c r="L19"/>
  <c r="M19"/>
  <c r="L20"/>
  <c r="M20"/>
  <c r="L21"/>
  <c r="M21"/>
  <c r="L22"/>
  <c r="M22"/>
  <c r="L23"/>
  <c r="M23"/>
  <c r="M16"/>
  <c r="L16"/>
  <c r="D14" i="17"/>
  <c r="C12" i="22" s="1"/>
  <c r="P14" i="17"/>
  <c r="O12" i="22" s="1"/>
  <c r="O14" i="17"/>
  <c r="N12" i="22" s="1"/>
  <c r="N14" i="17"/>
  <c r="M12" i="22" s="1"/>
  <c r="M14" i="17"/>
  <c r="L12" i="22" s="1"/>
  <c r="L14" i="17"/>
  <c r="K12" i="22" s="1"/>
  <c r="K14" i="17"/>
  <c r="J12" i="22" s="1"/>
  <c r="J14" i="17"/>
  <c r="I12" i="22" s="1"/>
  <c r="I14" i="17"/>
  <c r="H12" i="22" s="1"/>
  <c r="G14" i="17"/>
  <c r="G16" s="1"/>
  <c r="F14"/>
  <c r="F16" s="1"/>
  <c r="E14"/>
  <c r="E16" s="1"/>
  <c r="H16" l="1"/>
  <c r="F12" i="22"/>
  <c r="D12"/>
  <c r="E12"/>
  <c r="G12" l="1"/>
  <c r="C17" i="23"/>
  <c r="D17"/>
  <c r="C18"/>
  <c r="D18"/>
  <c r="C19"/>
  <c r="D19"/>
  <c r="C20"/>
  <c r="D20"/>
  <c r="C21"/>
  <c r="D21"/>
  <c r="C22"/>
  <c r="D22"/>
  <c r="C23"/>
  <c r="D23"/>
  <c r="D16"/>
  <c r="C16"/>
  <c r="F17"/>
  <c r="G17"/>
  <c r="F18"/>
  <c r="G18"/>
  <c r="F19"/>
  <c r="G19"/>
  <c r="F20"/>
  <c r="G20"/>
  <c r="F21"/>
  <c r="G21"/>
  <c r="F22"/>
  <c r="G22"/>
  <c r="F23"/>
  <c r="G23"/>
  <c r="G16"/>
  <c r="F16"/>
  <c r="I17"/>
  <c r="I18"/>
  <c r="I19"/>
  <c r="I20"/>
  <c r="I21"/>
  <c r="I22"/>
  <c r="I23"/>
  <c r="I16"/>
  <c r="J17"/>
  <c r="J18"/>
  <c r="J19"/>
  <c r="J20"/>
  <c r="J21"/>
  <c r="J22"/>
  <c r="J23"/>
  <c r="J16"/>
  <c r="H16"/>
  <c r="E16" s="1"/>
  <c r="B16" s="1"/>
  <c r="K16" s="1"/>
  <c r="N16" s="1"/>
  <c r="P6"/>
  <c r="P7"/>
  <c r="P8"/>
  <c r="P9"/>
  <c r="P10"/>
  <c r="P11"/>
  <c r="P12"/>
  <c r="P5"/>
  <c r="O6"/>
  <c r="O7"/>
  <c r="O8"/>
  <c r="O9"/>
  <c r="O10"/>
  <c r="O11"/>
  <c r="O12"/>
  <c r="O5"/>
  <c r="M6"/>
  <c r="M7"/>
  <c r="M8"/>
  <c r="M9"/>
  <c r="M10"/>
  <c r="M11"/>
  <c r="M12"/>
  <c r="M5"/>
  <c r="L6"/>
  <c r="L7"/>
  <c r="L8"/>
  <c r="L9"/>
  <c r="L10"/>
  <c r="L11"/>
  <c r="L12"/>
  <c r="L5"/>
  <c r="J6"/>
  <c r="J7"/>
  <c r="J8"/>
  <c r="J9"/>
  <c r="J10"/>
  <c r="J11"/>
  <c r="J12"/>
  <c r="J5"/>
  <c r="I6"/>
  <c r="I7"/>
  <c r="I8"/>
  <c r="I9"/>
  <c r="I10"/>
  <c r="I11"/>
  <c r="I12"/>
  <c r="I5"/>
  <c r="G6"/>
  <c r="G7"/>
  <c r="G8"/>
  <c r="G9"/>
  <c r="G10"/>
  <c r="G11"/>
  <c r="G12"/>
  <c r="G5"/>
  <c r="F6"/>
  <c r="F7"/>
  <c r="F8"/>
  <c r="F9"/>
  <c r="F10"/>
  <c r="F11"/>
  <c r="F12"/>
  <c r="F5"/>
  <c r="E5"/>
  <c r="H5" s="1"/>
  <c r="K5" s="1"/>
  <c r="N5" s="1"/>
  <c r="D6"/>
  <c r="D7"/>
  <c r="D8"/>
  <c r="D9"/>
  <c r="D10"/>
  <c r="D11"/>
  <c r="D12"/>
  <c r="D5"/>
  <c r="C6"/>
  <c r="C7"/>
  <c r="C8"/>
  <c r="C9"/>
  <c r="C10"/>
  <c r="C11"/>
  <c r="C12"/>
  <c r="C5"/>
  <c r="B5"/>
  <c r="D14" i="16" l="1"/>
  <c r="C9" i="22" s="1"/>
  <c r="P14" i="16"/>
  <c r="O9" i="22" s="1"/>
  <c r="O14" i="16"/>
  <c r="N9" i="22" s="1"/>
  <c r="N14" i="16"/>
  <c r="M9" i="22" s="1"/>
  <c r="M14" i="16"/>
  <c r="L9" i="22" s="1"/>
  <c r="L14" i="16"/>
  <c r="K9" i="22" s="1"/>
  <c r="K14" i="16"/>
  <c r="J9" i="22" s="1"/>
  <c r="J14" i="16"/>
  <c r="I9" i="22" s="1"/>
  <c r="I14" i="16"/>
  <c r="H9" i="22" s="1"/>
  <c r="H14" i="16"/>
  <c r="H16" s="1"/>
  <c r="G14"/>
  <c r="G16" s="1"/>
  <c r="F14"/>
  <c r="F16" s="1"/>
  <c r="E14"/>
  <c r="E16" s="1"/>
  <c r="G9" i="22" l="1"/>
  <c r="E9"/>
  <c r="F9"/>
  <c r="D9"/>
  <c r="D14" i="15" l="1"/>
  <c r="C10" i="22" s="1"/>
  <c r="E14" i="15" l="1"/>
  <c r="E16" s="1"/>
  <c r="G14"/>
  <c r="G16" s="1"/>
  <c r="I14"/>
  <c r="H10" i="22" s="1"/>
  <c r="K14" i="15"/>
  <c r="J10" i="22" s="1"/>
  <c r="M14" i="15"/>
  <c r="L10" i="22" s="1"/>
  <c r="O14" i="15"/>
  <c r="N10" i="22" s="1"/>
  <c r="F14" i="15"/>
  <c r="F16" s="1"/>
  <c r="H14"/>
  <c r="H16" s="1"/>
  <c r="J14"/>
  <c r="I10" i="22" s="1"/>
  <c r="L14" i="15"/>
  <c r="K10" i="22" s="1"/>
  <c r="N14" i="15"/>
  <c r="M10" i="22" s="1"/>
  <c r="P14" i="15"/>
  <c r="O10" i="22" s="1"/>
  <c r="D10"/>
  <c r="E10" l="1"/>
  <c r="G10"/>
  <c r="F10"/>
  <c r="D14" i="14" l="1"/>
  <c r="J14" l="1"/>
  <c r="I11" i="22" s="1"/>
  <c r="L14" i="14"/>
  <c r="K11" i="22" s="1"/>
  <c r="N14" i="14"/>
  <c r="M11" i="22" s="1"/>
  <c r="P14" i="14"/>
  <c r="O11" i="22" s="1"/>
  <c r="I14" i="14"/>
  <c r="H11" i="22" s="1"/>
  <c r="K14" i="14"/>
  <c r="J11" i="22" s="1"/>
  <c r="M14" i="14"/>
  <c r="L11" i="22" s="1"/>
  <c r="O14" i="14"/>
  <c r="N11" i="22" s="1"/>
  <c r="F14" i="14"/>
  <c r="F16" s="1"/>
  <c r="H14"/>
  <c r="H16" s="1"/>
  <c r="E14"/>
  <c r="E16" s="1"/>
  <c r="G14"/>
  <c r="G16" s="1"/>
  <c r="C11" i="22"/>
  <c r="F11" l="1"/>
  <c r="G11"/>
  <c r="D11"/>
  <c r="E11"/>
  <c r="G17" i="13" l="1"/>
  <c r="F17"/>
  <c r="E17"/>
  <c r="H17" l="1"/>
  <c r="D14" i="12" l="1"/>
  <c r="C7" i="22" s="1"/>
  <c r="P14" i="12"/>
  <c r="O7" i="22" s="1"/>
  <c r="O14" i="12"/>
  <c r="N7" i="22" s="1"/>
  <c r="N14" i="12"/>
  <c r="M7" i="22" s="1"/>
  <c r="M14" i="12"/>
  <c r="L7" i="22" s="1"/>
  <c r="L14" i="12"/>
  <c r="K7" i="22" s="1"/>
  <c r="K14" i="12"/>
  <c r="J7" i="22" s="1"/>
  <c r="J14" i="12"/>
  <c r="I7" i="22" s="1"/>
  <c r="I14" i="12"/>
  <c r="H7" i="22" s="1"/>
  <c r="G14" i="12"/>
  <c r="G16" s="1"/>
  <c r="F14"/>
  <c r="F16" s="1"/>
  <c r="E14"/>
  <c r="E16" s="1"/>
  <c r="H14" l="1"/>
  <c r="H16" s="1"/>
  <c r="F7" i="22"/>
  <c r="E7"/>
  <c r="D7"/>
  <c r="G7" l="1"/>
  <c r="H17" i="11" l="1"/>
  <c r="G17"/>
  <c r="F17"/>
  <c r="E17"/>
  <c r="D14" i="10" l="1"/>
  <c r="C5" i="22" s="1"/>
  <c r="H14" i="10"/>
  <c r="H16" s="1"/>
  <c r="G14"/>
  <c r="G16" s="1"/>
  <c r="F14"/>
  <c r="F16" s="1"/>
  <c r="E14"/>
  <c r="E16" s="1"/>
  <c r="P14"/>
  <c r="O5" i="22" s="1"/>
  <c r="O14" i="10"/>
  <c r="N5" i="22" s="1"/>
  <c r="N14" i="10"/>
  <c r="M5" i="22" s="1"/>
  <c r="M14" i="10"/>
  <c r="L5" i="22" s="1"/>
  <c r="L14" i="10"/>
  <c r="K5" i="22" s="1"/>
  <c r="K14" i="10"/>
  <c r="J5" i="22" s="1"/>
  <c r="J14" i="10"/>
  <c r="I5" i="22" s="1"/>
  <c r="I14" i="10"/>
  <c r="H5" i="22" s="1"/>
  <c r="G5" l="1"/>
  <c r="E5"/>
  <c r="F5"/>
  <c r="D5"/>
  <c r="E17" i="1" l="1"/>
  <c r="G17"/>
  <c r="F17"/>
  <c r="H17"/>
  <c r="H4" i="22" l="1"/>
  <c r="J4"/>
  <c r="L4"/>
  <c r="N4"/>
  <c r="I4"/>
  <c r="K4"/>
  <c r="M4"/>
  <c r="O4"/>
  <c r="C4"/>
  <c r="G4"/>
  <c r="E4"/>
  <c r="F4"/>
  <c r="D4"/>
  <c r="I14" l="1"/>
  <c r="I16" s="1"/>
  <c r="L14"/>
  <c r="L16" s="1"/>
  <c r="C14"/>
  <c r="C16" s="1"/>
  <c r="N14"/>
  <c r="N16" s="1"/>
  <c r="M14"/>
  <c r="M16" s="1"/>
  <c r="K14"/>
  <c r="K16" s="1"/>
  <c r="J14"/>
  <c r="J16" s="1"/>
  <c r="H14"/>
  <c r="H16" s="1"/>
  <c r="G14"/>
  <c r="G16" s="1"/>
  <c r="E14"/>
  <c r="E16" s="1"/>
  <c r="D14" l="1"/>
  <c r="D16" s="1"/>
  <c r="F14"/>
  <c r="F16" s="1"/>
  <c r="O14"/>
  <c r="O16" s="1"/>
</calcChain>
</file>

<file path=xl/sharedStrings.xml><?xml version="1.0" encoding="utf-8"?>
<sst xmlns="http://schemas.openxmlformats.org/spreadsheetml/2006/main" count="581" uniqueCount="202">
  <si>
    <t>Витамины</t>
  </si>
  <si>
    <t>В1</t>
  </si>
  <si>
    <t>С</t>
  </si>
  <si>
    <t>А</t>
  </si>
  <si>
    <t>Е</t>
  </si>
  <si>
    <t>Минеральные вещества</t>
  </si>
  <si>
    <t>Са</t>
  </si>
  <si>
    <t>Р</t>
  </si>
  <si>
    <t>Мg</t>
  </si>
  <si>
    <t>Fe</t>
  </si>
  <si>
    <t>1 день</t>
  </si>
  <si>
    <t>2 день</t>
  </si>
  <si>
    <t>Хлеб ржаной</t>
  </si>
  <si>
    <t>Хлеб пшеничный</t>
  </si>
  <si>
    <t>Мука пшеничная</t>
  </si>
  <si>
    <t>Крупа, бобовые</t>
  </si>
  <si>
    <t>геркулес</t>
  </si>
  <si>
    <t>горох</t>
  </si>
  <si>
    <t>крупа гречневая</t>
  </si>
  <si>
    <t>крупа манная</t>
  </si>
  <si>
    <t>крупа перловая</t>
  </si>
  <si>
    <t>крупа пшеничная</t>
  </si>
  <si>
    <t>пшено</t>
  </si>
  <si>
    <t>рис</t>
  </si>
  <si>
    <t>Макаронные изделия</t>
  </si>
  <si>
    <t>Картофель</t>
  </si>
  <si>
    <t>Овощи</t>
  </si>
  <si>
    <t>морковь</t>
  </si>
  <si>
    <t>лук</t>
  </si>
  <si>
    <t>свёкла</t>
  </si>
  <si>
    <t>томатный соус</t>
  </si>
  <si>
    <t>огурцы</t>
  </si>
  <si>
    <t>икра кабачковая</t>
  </si>
  <si>
    <t>зелень ( укроп, петрушка)</t>
  </si>
  <si>
    <t>Фрукты свежие</t>
  </si>
  <si>
    <t>Фрукты сухие</t>
  </si>
  <si>
    <t>Соки, напитки витамин.</t>
  </si>
  <si>
    <t>Мясо 1 кат.</t>
  </si>
  <si>
    <t>Субпродукты (печень, язык,сердце)</t>
  </si>
  <si>
    <t>Куры 1 кат. потрошеные</t>
  </si>
  <si>
    <t>Рыба- филе</t>
  </si>
  <si>
    <t>Молоко</t>
  </si>
  <si>
    <t>Кисломолочные продукты</t>
  </si>
  <si>
    <t>Творог</t>
  </si>
  <si>
    <t>Сыр</t>
  </si>
  <si>
    <t>Сметана</t>
  </si>
  <si>
    <t>Масло сливочное</t>
  </si>
  <si>
    <t>Масло растительное</t>
  </si>
  <si>
    <t>Яйцо (в штуках)</t>
  </si>
  <si>
    <t>Сахар</t>
  </si>
  <si>
    <t>Кондитерские изделия</t>
  </si>
  <si>
    <t>Чай</t>
  </si>
  <si>
    <t>Какао</t>
  </si>
  <si>
    <t>Кофейный напиток</t>
  </si>
  <si>
    <t xml:space="preserve">Дрожжи </t>
  </si>
  <si>
    <t xml:space="preserve">Крахмал </t>
  </si>
  <si>
    <t>Соль йодированная</t>
  </si>
  <si>
    <t>Специи</t>
  </si>
  <si>
    <t>3 день</t>
  </si>
  <si>
    <t>5 день</t>
  </si>
  <si>
    <t>7 день</t>
  </si>
  <si>
    <t>8 день</t>
  </si>
  <si>
    <t>9 день</t>
  </si>
  <si>
    <t>10 день</t>
  </si>
  <si>
    <t>Наименование продукта</t>
  </si>
  <si>
    <t xml:space="preserve">нормы (100%) согласно требован   иям СанПин  гр. </t>
  </si>
  <si>
    <t xml:space="preserve">итого </t>
  </si>
  <si>
    <t>Второй день</t>
  </si>
  <si>
    <t>Третий день</t>
  </si>
  <si>
    <t>Четветрый день</t>
  </si>
  <si>
    <t>Шестой день</t>
  </si>
  <si>
    <t>Седьмой день</t>
  </si>
  <si>
    <t>Восьмой день</t>
  </si>
  <si>
    <t>Девятый день</t>
  </si>
  <si>
    <t>Десятый день</t>
  </si>
  <si>
    <t>Первый день</t>
  </si>
  <si>
    <t>Пятый день</t>
  </si>
  <si>
    <t>6 день</t>
  </si>
  <si>
    <t>Компот из смеси сухофруктов</t>
  </si>
  <si>
    <t>Котлеты или биточки рыбные</t>
  </si>
  <si>
    <t>Обед</t>
  </si>
  <si>
    <t xml:space="preserve">День </t>
  </si>
  <si>
    <t>Итог в среднем за обед</t>
  </si>
  <si>
    <t>Рекомендуемые диеты</t>
  </si>
  <si>
    <t>*- без соли</t>
  </si>
  <si>
    <t>**- без сахара</t>
  </si>
  <si>
    <t>ОВД, ЩД, ВБД, НБД, НКД, ВКД (1,3,4в,5,6,7,8,9,10,11,15)</t>
  </si>
  <si>
    <t>ОВД, ЩД, ВБД, НБД, НКД, ВКД  (2,3,4в,5,5р,7,8,9,10,11,15)</t>
  </si>
  <si>
    <t>ОВД, ЩД, ВБД, НКД*, ВКД (1,1б,2,3,4,4в,5,6,7*,8*9,10*,11,15)</t>
  </si>
  <si>
    <t>ОВД, ЩД, ВБД, НБД, НКД, ВКД  (1,2,3,4в,5,6,7,10,11,15)</t>
  </si>
  <si>
    <t>ОВД, ВБД, НБД, НКД, ВКД  (3,5***,6,7,8**,9**,10,11,15)</t>
  </si>
  <si>
    <t>***- без кислоты лимонной</t>
  </si>
  <si>
    <t>Икра кабачковая ( промышленного производства)</t>
  </si>
  <si>
    <t>ОВД, ЩД, ВБД, НБД, НКД, ВКД (3а,3б,5,6,7а,7б,7,8,9,10,10А,10с,11,13,15)</t>
  </si>
  <si>
    <t>апельсин</t>
  </si>
  <si>
    <t>банан</t>
  </si>
  <si>
    <t>груша</t>
  </si>
  <si>
    <t>мандарин</t>
  </si>
  <si>
    <t>лимон</t>
  </si>
  <si>
    <t>яблоко</t>
  </si>
  <si>
    <t>изюм</t>
  </si>
  <si>
    <t>компотная смесь</t>
  </si>
  <si>
    <t>курага</t>
  </si>
  <si>
    <t>чернослив</t>
  </si>
  <si>
    <t>ОВД, ЩД, ВБД, НБД, ВКД  (1,1а,1б,2,3,4б,4в,5,6,7,10,11,15)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</si>
  <si>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</si>
  <si>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</si>
  <si>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</si>
  <si>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</si>
  <si>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</si>
  <si>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</si>
  <si>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</si>
  <si>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</si>
  <si>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капуста свежая</t>
  </si>
  <si>
    <t>капуста квашеная</t>
  </si>
  <si>
    <t>суточная нома по СанПиН 2.3/2.4.3590-20</t>
  </si>
  <si>
    <t>фактичекое выполнение по меню</t>
  </si>
  <si>
    <t>ОВД, ВБД, ВКД (11,15)</t>
  </si>
  <si>
    <t>ОВД, ВБД, НБД*, НКД*, ВКД (2,3,5,6,7*,8*,9**,10*,11,15)</t>
  </si>
  <si>
    <t>Молоко витаминизированное</t>
  </si>
  <si>
    <t>фактичекое выполнение по меню ( обед)</t>
  </si>
  <si>
    <t>4 день</t>
  </si>
  <si>
    <t xml:space="preserve">Меню  обедов для учащихся Уренского муниципального округа Нижегородской области </t>
  </si>
  <si>
    <t>Молоко сгущенное</t>
  </si>
  <si>
    <t>зеленый горошек</t>
  </si>
  <si>
    <t>Меню  обедов  для учащихся  1-4  кл Уренского муниципального округа Нижегородской области</t>
  </si>
  <si>
    <t xml:space="preserve">Меню  обедов для учащихся  1-4  кл Уренского муниципального округа Нижегородской области </t>
  </si>
  <si>
    <t>Меню обедов для учащихся  1-4  кл Уренского муниципального округа Нижегородской области</t>
  </si>
  <si>
    <t xml:space="preserve">Меню обедов  для учащихся  1-4  кл Уренского муниципального округа Нижегородской области </t>
  </si>
  <si>
    <t xml:space="preserve">Меню  обедов  для учащихся 1-4  кл Уренского муниципального округа Нижегородской области </t>
  </si>
  <si>
    <t>Меню обедов  для учащихся  1-4  кл Уренского муниципального округа Нижегородской области</t>
  </si>
  <si>
    <t xml:space="preserve">Меню обедов  для учащихся 1-4  кл Уренского муниципального округа Нижегородской области </t>
  </si>
  <si>
    <t>Свод по белкам, жирам, углеводам, витаминам и минеральным веществам, % от суточной нормы, выход блюд                                                                                                                                                                                  Меню обедов  для учащихся  1-4  кл Уренского муниципального округа Нижегородской области</t>
  </si>
  <si>
    <t>Соки овощные, фруктовые и ягодные</t>
  </si>
  <si>
    <t>Кисель из повидла</t>
  </si>
  <si>
    <t>Кисломолочный напиток (йогурт)</t>
  </si>
  <si>
    <t>Пюре картофельное</t>
  </si>
  <si>
    <t>ОВД, ЩД, ВБД, НБД*,  НКД*, ВКД (1,2,3,4б,4в,5,5п,5р,6,7*,8*,9,10*,11,15)</t>
  </si>
  <si>
    <t>кукуруза консервированная</t>
  </si>
  <si>
    <t>клюква</t>
  </si>
  <si>
    <t>Таблица среднесуточного набора продуктов питания (обедов для учащихся  1-4  кл Уренского муниципального округа Нижегородской области )</t>
  </si>
  <si>
    <t>Борщ с капустой и картофелем на бульоне мясном со сметаной</t>
  </si>
  <si>
    <t>ОВД,ЩД, ВБД, ВКД (0,2,4,4б,4в,11,15)</t>
  </si>
  <si>
    <t>ОВД, ЩД, ВБД, НБД, НКД, ВКД  (1,2,3,4б,4в,5,6,7,8,9,10,11,15)</t>
  </si>
  <si>
    <t>Салат картофельный с солеными огурцами или капустой квашеной</t>
  </si>
  <si>
    <t>ОВД,  ВБД,  НКД, ВКД ( 8,9,10,11)</t>
  </si>
  <si>
    <t>Макаронные изделия отварные с сыром</t>
  </si>
  <si>
    <t>ОВД, ЩД, ВБД, ВКД (2,3,4в,5,6,7*,8*,9,10*,11,15)</t>
  </si>
  <si>
    <t>итого за обед (не менее 700гр)</t>
  </si>
  <si>
    <t>Суп гороховый на бульоне мясном</t>
  </si>
  <si>
    <t>Жаркое по-домашнему</t>
  </si>
  <si>
    <t>ОВД, ВБД,  ВКД (11,15)</t>
  </si>
  <si>
    <t>Суп картофельный с фрикадельками рыбными</t>
  </si>
  <si>
    <t>ОВД,  ЩД, ВБД, НКД*, ВКД (2,4В,5,6,7*,8*,9*,10*,11,15)</t>
  </si>
  <si>
    <t>ОВД, ЩД, ВБД, НКД*, ВКД (1,1б,2,3,4б,4в,5,6,7*,8*,9,10*,11,15)</t>
  </si>
  <si>
    <t>ОВД, ЩД, ВБД, НБД*,НКД*,  ВКД  (2,3а,3б,5,5а,5п,6,7*,8*,9**,10*,10а,10с,11,13,15)</t>
  </si>
  <si>
    <t>ОВД,ЩД, ВБД, ВКД (2,3,4,11,15)</t>
  </si>
  <si>
    <t>Картофель отварной с маслом</t>
  </si>
  <si>
    <t>ОВД, ВБД, НБД*, НКД*, ВКД (1,2,3,4,5,6,7*,8*,10,11,15)</t>
  </si>
  <si>
    <t>%  от  нормы ( обед)</t>
  </si>
  <si>
    <t>итого за обед (не менее 700гр )</t>
  </si>
  <si>
    <t xml:space="preserve"> 4 день</t>
  </si>
  <si>
    <t>итого  обед и обед по брутто</t>
  </si>
  <si>
    <t>итого  обед и обед по нетто</t>
  </si>
  <si>
    <t>обед(брутто)</t>
  </si>
  <si>
    <t>обед(нетто)</t>
  </si>
  <si>
    <t>обед (нетто )</t>
  </si>
  <si>
    <t>обед(нетто(</t>
  </si>
  <si>
    <t xml:space="preserve">нормы (30%) согласно требован   иям СанПин  гр. </t>
  </si>
  <si>
    <t>повидло</t>
  </si>
  <si>
    <t>Суп гороховый  на бульоне из кур</t>
  </si>
  <si>
    <t xml:space="preserve">Щи из свежей капусты на бульоне из кур </t>
  </si>
  <si>
    <t>ОВД, ВБД, НКД*, ВКД (3,5,6,7*,8*,9,10*,11,15)</t>
  </si>
  <si>
    <t>Котлеты " Нежные"</t>
  </si>
  <si>
    <t>ОВД, ЩД, ВБД, НКД*, ВКД (1,1б,2,3,4,4в,5,6,7*,8*,9,10*,11,15)</t>
  </si>
  <si>
    <t>Каша пшенная вязкая</t>
  </si>
  <si>
    <t>ОВД, ВБД, НБД*,  НКД*, ВКД (2,3,5,6,7*,8*,9,10*,11,15)</t>
  </si>
  <si>
    <t>Щи из свежей капусты  на бульоне из кур</t>
  </si>
  <si>
    <t>ОВД, ЩД, ВБД, НБД, НКД, ВКД (1р,2,3,4б,4в,5,6,7,8,9,10,11,15)</t>
  </si>
  <si>
    <t>Сырники из творога запеченные с маслом сливочным</t>
  </si>
  <si>
    <r>
      <t xml:space="preserve">среднедневная норма г (обед , </t>
    </r>
    <r>
      <rPr>
        <sz val="8"/>
        <rFont val="Times New Roman"/>
        <family val="1"/>
        <charset val="204"/>
      </rPr>
      <t>нетто</t>
    </r>
    <r>
      <rPr>
        <sz val="5"/>
        <rFont val="Times New Roman"/>
        <family val="1"/>
        <charset val="204"/>
      </rPr>
      <t>)</t>
    </r>
  </si>
  <si>
    <r>
      <t xml:space="preserve">среднедневная норма г (обед , </t>
    </r>
    <r>
      <rPr>
        <sz val="8"/>
        <rFont val="Times New Roman"/>
        <family val="1"/>
        <charset val="204"/>
      </rPr>
      <t>брутто</t>
    </r>
    <r>
      <rPr>
        <sz val="5"/>
        <rFont val="Times New Roman"/>
        <family val="1"/>
        <charset val="204"/>
      </rPr>
      <t>)</t>
    </r>
  </si>
  <si>
    <t>Рассольник домашний</t>
  </si>
  <si>
    <t>Голубцы ленивые</t>
  </si>
  <si>
    <t>ОВД, ВБД,  НКД*, ВКД (3,7*,8*,9,10*11,15)</t>
  </si>
  <si>
    <t>ОВД, ВБД, ВКД (2,11,15)</t>
  </si>
  <si>
    <t>Рагу из птицы</t>
  </si>
  <si>
    <t>Суп картофельный</t>
  </si>
  <si>
    <t>ОВД, ЩД, ВБД, НКД*,ВКД (2,3,5,6,7,8*,9,10*,11,15)</t>
  </si>
  <si>
    <t>Суп картофельный с фрикадельками мясными</t>
  </si>
  <si>
    <t>ОВД, ЩД, ВБД,НБД*, НКД*, ВКД (1,2,3,4в,5,6,7*,9,10*,11,15)</t>
  </si>
  <si>
    <t>Омлет натуральный</t>
  </si>
  <si>
    <t>ОВД, ЩД, ВБД, НБД*, НКД*,ВКД, 2,8*,9,10*,15 ( запеченный), 1,1а,1б,4,4б,4в,5,6,7*,8*,9,11,15 ( паровой)</t>
  </si>
  <si>
    <r>
      <t xml:space="preserve">средняя стоимоть бюллетень цен </t>
    </r>
    <r>
      <rPr>
        <b/>
        <i/>
        <sz val="5.5"/>
        <color indexed="10"/>
        <rFont val="Times New Roman"/>
        <family val="1"/>
        <charset val="204"/>
      </rPr>
      <t>за ноябрь 2024</t>
    </r>
  </si>
  <si>
    <t>ОВД, ВБД, НКД*, ВКД (3,6,7*,8*,9,10*,11,15)</t>
  </si>
  <si>
    <t>Компот из плодов или ягод сушеных</t>
  </si>
  <si>
    <t>Каша пшенная вязкая с маслом сливочным</t>
  </si>
  <si>
    <t>Чай с сахаром</t>
  </si>
  <si>
    <t>ОВД, ЩД, ВБД, ВКД  (2,3,4б,4в,5,7,8**,10,11,15)</t>
  </si>
  <si>
    <t>Чай с молоком</t>
  </si>
  <si>
    <t>ОВД, ЩД, НБД, НКД, ВКД  (1,2,3,4,4б,4в,5,6,7,10,11,15)</t>
  </si>
  <si>
    <t xml:space="preserve">Меню обедов для учащихся  1-4  кл Уренского муниципального округа Нижегородской области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</si>
</sst>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1"/>
      <name val="Arial"/>
      <family val="2"/>
    </font>
    <font>
      <i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5.5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Times New Roman"/>
      <family val="1"/>
      <charset val="204"/>
    </font>
    <font>
      <b/>
      <i/>
      <sz val="5.5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5" fillId="0" borderId="0"/>
    <xf numFmtId="0" fontId="1" fillId="0" borderId="0"/>
  </cellStyleXfs>
  <cellXfs count="290">
    <xf numFmtId="0" fontId="0" fillId="0" borderId="0" xfId="0"/>
    <xf numFmtId="0" fontId="2" fillId="0" borderId="0" xfId="0" applyFont="1"/>
    <xf numFmtId="0" fontId="10" fillId="0" borderId="0" xfId="0" applyFont="1"/>
    <xf numFmtId="0" fontId="7" fillId="0" borderId="0" xfId="0" applyFont="1"/>
    <xf numFmtId="0" fontId="4" fillId="0" borderId="0" xfId="0" applyFont="1"/>
    <xf numFmtId="0" fontId="16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4" fillId="0" borderId="27" xfId="0" applyFont="1" applyBorder="1" applyAlignment="1">
      <alignment vertical="top" wrapText="1"/>
    </xf>
    <xf numFmtId="2" fontId="14" fillId="0" borderId="31" xfId="0" applyNumberFormat="1" applyFont="1" applyBorder="1" applyAlignment="1">
      <alignment vertical="top" wrapText="1"/>
    </xf>
    <xf numFmtId="0" fontId="6" fillId="0" borderId="16" xfId="0" applyFont="1" applyBorder="1"/>
    <xf numFmtId="0" fontId="6" fillId="0" borderId="3" xfId="0" applyFont="1" applyBorder="1"/>
    <xf numFmtId="0" fontId="8" fillId="0" borderId="3" xfId="0" applyFont="1" applyBorder="1"/>
    <xf numFmtId="0" fontId="6" fillId="0" borderId="3" xfId="0" applyFont="1" applyBorder="1" applyAlignment="1">
      <alignment vertical="center" wrapText="1"/>
    </xf>
    <xf numFmtId="0" fontId="9" fillId="0" borderId="3" xfId="0" applyFont="1" applyBorder="1"/>
    <xf numFmtId="0" fontId="6" fillId="0" borderId="27" xfId="0" applyFont="1" applyBorder="1" applyAlignment="1">
      <alignment vertical="center" wrapText="1"/>
    </xf>
    <xf numFmtId="164" fontId="13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8" fillId="0" borderId="26" xfId="0" applyFont="1" applyBorder="1" applyAlignment="1">
      <alignment horizontal="center" vertical="center" wrapText="1"/>
    </xf>
    <xf numFmtId="164" fontId="6" fillId="0" borderId="48" xfId="0" applyNumberFormat="1" applyFont="1" applyBorder="1" applyAlignment="1">
      <alignment horizontal="center" vertical="center" wrapText="1"/>
    </xf>
    <xf numFmtId="0" fontId="21" fillId="0" borderId="0" xfId="0" applyFont="1"/>
    <xf numFmtId="0" fontId="22" fillId="0" borderId="3" xfId="0" applyFont="1" applyBorder="1"/>
    <xf numFmtId="2" fontId="4" fillId="4" borderId="1" xfId="0" applyNumberFormat="1" applyFont="1" applyFill="1" applyBorder="1"/>
    <xf numFmtId="2" fontId="4" fillId="4" borderId="8" xfId="0" applyNumberFormat="1" applyFont="1" applyFill="1" applyBorder="1"/>
    <xf numFmtId="0" fontId="4" fillId="0" borderId="53" xfId="0" applyFont="1" applyBorder="1"/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Protection="1"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4" xfId="0" applyNumberFormat="1" applyFont="1" applyFill="1" applyBorder="1" applyProtection="1">
      <protection locked="0"/>
    </xf>
    <xf numFmtId="0" fontId="4" fillId="0" borderId="51" xfId="0" applyFont="1" applyBorder="1"/>
    <xf numFmtId="0" fontId="4" fillId="3" borderId="25" xfId="0" applyFont="1" applyFill="1" applyBorder="1"/>
    <xf numFmtId="0" fontId="4" fillId="3" borderId="37" xfId="0" applyFont="1" applyFill="1" applyBorder="1" applyAlignment="1" applyProtection="1">
      <alignment wrapText="1"/>
      <protection locked="0"/>
    </xf>
    <xf numFmtId="1" fontId="4" fillId="3" borderId="37" xfId="0" applyNumberFormat="1" applyFont="1" applyFill="1" applyBorder="1" applyProtection="1">
      <protection locked="0"/>
    </xf>
    <xf numFmtId="0" fontId="4" fillId="4" borderId="8" xfId="0" applyFont="1" applyFill="1" applyBorder="1" applyAlignment="1" applyProtection="1">
      <alignment wrapText="1"/>
      <protection locked="0"/>
    </xf>
    <xf numFmtId="1" fontId="4" fillId="4" borderId="8" xfId="0" applyNumberFormat="1" applyFont="1" applyFill="1" applyBorder="1" applyProtection="1">
      <protection locked="0"/>
    </xf>
    <xf numFmtId="2" fontId="4" fillId="4" borderId="8" xfId="0" applyNumberFormat="1" applyFont="1" applyFill="1" applyBorder="1" applyProtection="1">
      <protection locked="0"/>
    </xf>
    <xf numFmtId="0" fontId="4" fillId="4" borderId="7" xfId="0" applyFont="1" applyFill="1" applyBorder="1" applyAlignment="1" applyProtection="1">
      <alignment wrapText="1"/>
      <protection locked="0"/>
    </xf>
    <xf numFmtId="1" fontId="4" fillId="4" borderId="7" xfId="0" applyNumberFormat="1" applyFont="1" applyFill="1" applyBorder="1" applyProtection="1">
      <protection locked="0"/>
    </xf>
    <xf numFmtId="2" fontId="4" fillId="4" borderId="7" xfId="0" applyNumberFormat="1" applyFont="1" applyFill="1" applyBorder="1" applyProtection="1">
      <protection locked="0"/>
    </xf>
    <xf numFmtId="2" fontId="4" fillId="4" borderId="9" xfId="0" applyNumberFormat="1" applyFont="1" applyFill="1" applyBorder="1" applyProtection="1">
      <protection locked="0"/>
    </xf>
    <xf numFmtId="2" fontId="4" fillId="3" borderId="37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4" borderId="1" xfId="0" applyFont="1" applyFill="1" applyBorder="1" applyAlignment="1" applyProtection="1">
      <alignment vertical="center" wrapText="1"/>
      <protection locked="0"/>
    </xf>
    <xf numFmtId="1" fontId="4" fillId="4" borderId="1" xfId="0" applyNumberFormat="1" applyFont="1" applyFill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 applyProtection="1">
      <alignment vertical="center"/>
      <protection locked="0"/>
    </xf>
    <xf numFmtId="2" fontId="4" fillId="4" borderId="4" xfId="0" applyNumberFormat="1" applyFont="1" applyFill="1" applyBorder="1" applyAlignment="1" applyProtection="1">
      <alignment vertical="center"/>
      <protection locked="0"/>
    </xf>
    <xf numFmtId="2" fontId="4" fillId="4" borderId="1" xfId="0" applyNumberFormat="1" applyFont="1" applyFill="1" applyBorder="1" applyAlignment="1">
      <alignment vertical="center"/>
    </xf>
    <xf numFmtId="0" fontId="4" fillId="0" borderId="51" xfId="0" applyFont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vertical="center" wrapText="1"/>
      <protection locked="0"/>
    </xf>
    <xf numFmtId="1" fontId="4" fillId="4" borderId="8" xfId="0" applyNumberFormat="1" applyFont="1" applyFill="1" applyBorder="1" applyAlignment="1" applyProtection="1">
      <alignment vertical="center"/>
      <protection locked="0"/>
    </xf>
    <xf numFmtId="2" fontId="4" fillId="4" borderId="8" xfId="0" applyNumberFormat="1" applyFont="1" applyFill="1" applyBorder="1" applyAlignment="1" applyProtection="1">
      <alignment vertical="center"/>
      <protection locked="0"/>
    </xf>
    <xf numFmtId="2" fontId="4" fillId="4" borderId="10" xfId="0" applyNumberFormat="1" applyFont="1" applyFill="1" applyBorder="1" applyAlignment="1" applyProtection="1">
      <alignment vertical="center"/>
      <protection locked="0"/>
    </xf>
    <xf numFmtId="2" fontId="4" fillId="4" borderId="8" xfId="0" applyNumberFormat="1" applyFont="1" applyFill="1" applyBorder="1" applyAlignment="1">
      <alignment vertical="center"/>
    </xf>
    <xf numFmtId="0" fontId="4" fillId="4" borderId="21" xfId="0" applyFont="1" applyFill="1" applyBorder="1" applyAlignment="1" applyProtection="1">
      <alignment vertical="center" wrapText="1"/>
      <protection locked="0"/>
    </xf>
    <xf numFmtId="2" fontId="4" fillId="3" borderId="37" xfId="0" applyNumberFormat="1" applyFont="1" applyFill="1" applyBorder="1" applyAlignment="1" applyProtection="1">
      <alignment horizontal="center"/>
      <protection locked="0"/>
    </xf>
    <xf numFmtId="0" fontId="4" fillId="3" borderId="37" xfId="0" applyFont="1" applyFill="1" applyBorder="1" applyAlignment="1" applyProtection="1">
      <alignment horizontal="center" wrapText="1"/>
      <protection locked="0"/>
    </xf>
    <xf numFmtId="0" fontId="21" fillId="0" borderId="53" xfId="0" applyFont="1" applyBorder="1"/>
    <xf numFmtId="0" fontId="21" fillId="2" borderId="51" xfId="0" applyFont="1" applyFill="1" applyBorder="1"/>
    <xf numFmtId="0" fontId="4" fillId="0" borderId="56" xfId="0" applyFont="1" applyBorder="1"/>
    <xf numFmtId="0" fontId="20" fillId="2" borderId="28" xfId="0" applyFont="1" applyFill="1" applyBorder="1"/>
    <xf numFmtId="0" fontId="20" fillId="2" borderId="29" xfId="0" applyFont="1" applyFill="1" applyBorder="1"/>
    <xf numFmtId="0" fontId="21" fillId="0" borderId="11" xfId="0" applyFont="1" applyBorder="1"/>
    <xf numFmtId="0" fontId="4" fillId="0" borderId="2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21" fillId="0" borderId="53" xfId="0" applyFont="1" applyBorder="1" applyAlignment="1">
      <alignment vertical="center" wrapText="1"/>
    </xf>
    <xf numFmtId="2" fontId="4" fillId="4" borderId="1" xfId="0" applyNumberFormat="1" applyFont="1" applyFill="1" applyBorder="1" applyAlignment="1" applyProtection="1">
      <alignment vertical="center" wrapText="1"/>
      <protection locked="0"/>
    </xf>
    <xf numFmtId="2" fontId="4" fillId="4" borderId="4" xfId="0" applyNumberFormat="1" applyFont="1" applyFill="1" applyBorder="1" applyAlignment="1" applyProtection="1">
      <alignment vertical="center" wrapText="1"/>
      <protection locked="0"/>
    </xf>
    <xf numFmtId="2" fontId="4" fillId="4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14" fillId="0" borderId="11" xfId="0" applyFont="1" applyBorder="1" applyAlignment="1">
      <alignment vertical="top" wrapText="1"/>
    </xf>
    <xf numFmtId="2" fontId="14" fillId="0" borderId="20" xfId="0" applyNumberFormat="1" applyFont="1" applyBorder="1" applyAlignment="1">
      <alignment vertical="top" wrapText="1"/>
    </xf>
    <xf numFmtId="2" fontId="14" fillId="0" borderId="47" xfId="0" applyNumberFormat="1" applyFont="1" applyBorder="1" applyAlignment="1">
      <alignment vertical="top" wrapText="1"/>
    </xf>
    <xf numFmtId="0" fontId="4" fillId="0" borderId="13" xfId="0" applyFont="1" applyBorder="1" applyAlignment="1">
      <alignment vertical="center"/>
    </xf>
    <xf numFmtId="0" fontId="14" fillId="0" borderId="52" xfId="0" applyFont="1" applyBorder="1" applyAlignment="1">
      <alignment vertical="top" wrapText="1"/>
    </xf>
    <xf numFmtId="0" fontId="14" fillId="0" borderId="52" xfId="0" applyFont="1" applyBorder="1" applyAlignment="1">
      <alignment horizontal="center" vertical="center" wrapText="1"/>
    </xf>
    <xf numFmtId="2" fontId="14" fillId="0" borderId="39" xfId="0" applyNumberFormat="1" applyFont="1" applyBorder="1" applyAlignment="1">
      <alignment vertical="top" wrapText="1"/>
    </xf>
    <xf numFmtId="2" fontId="14" fillId="0" borderId="26" xfId="0" applyNumberFormat="1" applyFont="1" applyBorder="1" applyAlignment="1">
      <alignment vertical="top" wrapText="1"/>
    </xf>
    <xf numFmtId="0" fontId="14" fillId="0" borderId="34" xfId="0" applyFont="1" applyBorder="1" applyAlignment="1">
      <alignment vertical="center"/>
    </xf>
    <xf numFmtId="2" fontId="4" fillId="2" borderId="34" xfId="0" applyNumberFormat="1" applyFont="1" applyFill="1" applyBorder="1" applyAlignment="1" applyProtection="1">
      <alignment horizontal="center" vertical="center"/>
      <protection locked="0"/>
    </xf>
    <xf numFmtId="2" fontId="4" fillId="2" borderId="35" xfId="0" applyNumberFormat="1" applyFont="1" applyFill="1" applyBorder="1" applyAlignment="1" applyProtection="1">
      <alignment horizontal="center" vertical="center"/>
      <protection locked="0"/>
    </xf>
    <xf numFmtId="2" fontId="7" fillId="0" borderId="16" xfId="0" applyNumberFormat="1" applyFont="1" applyBorder="1" applyAlignment="1">
      <alignment horizontal="right" vertical="center"/>
    </xf>
    <xf numFmtId="2" fontId="7" fillId="0" borderId="3" xfId="0" applyNumberFormat="1" applyFont="1" applyBorder="1"/>
    <xf numFmtId="2" fontId="7" fillId="0" borderId="3" xfId="0" applyNumberFormat="1" applyFont="1" applyBorder="1" applyAlignment="1">
      <alignment vertical="center"/>
    </xf>
    <xf numFmtId="2" fontId="7" fillId="0" borderId="11" xfId="0" applyNumberFormat="1" applyFont="1" applyBorder="1"/>
    <xf numFmtId="0" fontId="4" fillId="0" borderId="6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0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2" fontId="12" fillId="5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5" borderId="3" xfId="0" applyNumberFormat="1" applyFont="1" applyFill="1" applyBorder="1"/>
    <xf numFmtId="2" fontId="12" fillId="5" borderId="41" xfId="0" applyNumberFormat="1" applyFont="1" applyFill="1" applyBorder="1" applyAlignment="1" applyProtection="1">
      <alignment horizontal="center" vertical="center" wrapText="1"/>
      <protection locked="0"/>
    </xf>
    <xf numFmtId="2" fontId="12" fillId="5" borderId="42" xfId="0" applyNumberFormat="1" applyFont="1" applyFill="1" applyBorder="1" applyAlignment="1" applyProtection="1">
      <alignment horizontal="center" vertical="center" wrapText="1"/>
      <protection locked="0"/>
    </xf>
    <xf numFmtId="2" fontId="14" fillId="5" borderId="39" xfId="0" applyNumberFormat="1" applyFont="1" applyFill="1" applyBorder="1" applyAlignment="1">
      <alignment vertical="top" wrapText="1"/>
    </xf>
    <xf numFmtId="2" fontId="14" fillId="5" borderId="37" xfId="0" applyNumberFormat="1" applyFont="1" applyFill="1" applyBorder="1" applyAlignment="1">
      <alignment vertical="top" wrapText="1"/>
    </xf>
    <xf numFmtId="2" fontId="14" fillId="5" borderId="38" xfId="0" applyNumberFormat="1" applyFont="1" applyFill="1" applyBorder="1" applyAlignment="1">
      <alignment vertical="top" wrapText="1"/>
    </xf>
    <xf numFmtId="2" fontId="14" fillId="5" borderId="37" xfId="0" applyNumberFormat="1" applyFont="1" applyFill="1" applyBorder="1" applyAlignment="1">
      <alignment vertical="center"/>
    </xf>
    <xf numFmtId="2" fontId="4" fillId="5" borderId="37" xfId="0" applyNumberFormat="1" applyFont="1" applyFill="1" applyBorder="1" applyAlignment="1" applyProtection="1">
      <alignment horizontal="center" vertical="center"/>
      <protection locked="0"/>
    </xf>
    <xf numFmtId="2" fontId="4" fillId="5" borderId="38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vertical="center" wrapText="1"/>
      <protection locked="0"/>
    </xf>
    <xf numFmtId="1" fontId="4" fillId="4" borderId="7" xfId="0" applyNumberFormat="1" applyFont="1" applyFill="1" applyBorder="1" applyAlignment="1" applyProtection="1">
      <alignment vertical="center"/>
      <protection locked="0"/>
    </xf>
    <xf numFmtId="2" fontId="4" fillId="4" borderId="7" xfId="0" applyNumberFormat="1" applyFont="1" applyFill="1" applyBorder="1" applyAlignment="1" applyProtection="1">
      <alignment vertical="center"/>
      <protection locked="0"/>
    </xf>
    <xf numFmtId="2" fontId="4" fillId="4" borderId="9" xfId="0" applyNumberFormat="1" applyFont="1" applyFill="1" applyBorder="1" applyAlignment="1" applyProtection="1">
      <alignment vertical="center"/>
      <protection locked="0"/>
    </xf>
    <xf numFmtId="2" fontId="4" fillId="4" borderId="7" xfId="0" applyNumberFormat="1" applyFont="1" applyFill="1" applyBorder="1" applyAlignment="1">
      <alignment vertical="center"/>
    </xf>
    <xf numFmtId="2" fontId="1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 vertical="center"/>
    </xf>
    <xf numFmtId="0" fontId="5" fillId="5" borderId="56" xfId="0" applyFont="1" applyFill="1" applyBorder="1"/>
    <xf numFmtId="164" fontId="5" fillId="5" borderId="11" xfId="0" applyNumberFormat="1" applyFont="1" applyFill="1" applyBorder="1"/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21" fillId="0" borderId="33" xfId="0" applyFont="1" applyBorder="1" applyAlignment="1">
      <alignment vertical="center" wrapText="1"/>
    </xf>
    <xf numFmtId="0" fontId="21" fillId="0" borderId="60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2" fontId="4" fillId="4" borderId="10" xfId="0" applyNumberFormat="1" applyFont="1" applyFill="1" applyBorder="1" applyProtection="1">
      <protection locked="0"/>
    </xf>
    <xf numFmtId="2" fontId="0" fillId="0" borderId="3" xfId="0" applyNumberFormat="1" applyBorder="1"/>
    <xf numFmtId="0" fontId="0" fillId="0" borderId="3" xfId="0" applyBorder="1"/>
    <xf numFmtId="164" fontId="6" fillId="0" borderId="47" xfId="0" applyNumberFormat="1" applyFont="1" applyBorder="1" applyAlignment="1">
      <alignment horizontal="center" vertical="center" wrapText="1"/>
    </xf>
    <xf numFmtId="164" fontId="13" fillId="0" borderId="11" xfId="0" applyNumberFormat="1" applyFont="1" applyBorder="1" applyAlignment="1">
      <alignment vertical="center" wrapText="1"/>
    </xf>
    <xf numFmtId="0" fontId="18" fillId="6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6" borderId="25" xfId="0" applyFont="1" applyFill="1" applyBorder="1" applyAlignment="1">
      <alignment horizontal="center" vertical="center" wrapText="1"/>
    </xf>
    <xf numFmtId="0" fontId="18" fillId="6" borderId="52" xfId="0" applyFont="1" applyFill="1" applyBorder="1" applyAlignment="1">
      <alignment horizontal="center" vertical="center" wrapText="1"/>
    </xf>
    <xf numFmtId="0" fontId="18" fillId="6" borderId="26" xfId="0" applyFont="1" applyFill="1" applyBorder="1" applyAlignment="1">
      <alignment horizontal="center" vertical="center" wrapText="1"/>
    </xf>
    <xf numFmtId="2" fontId="12" fillId="6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43" xfId="0" applyNumberFormat="1" applyFont="1" applyBorder="1" applyAlignment="1">
      <alignment horizontal="center" vertical="center" wrapText="1"/>
    </xf>
    <xf numFmtId="164" fontId="6" fillId="6" borderId="16" xfId="0" applyNumberFormat="1" applyFont="1" applyFill="1" applyBorder="1" applyAlignment="1">
      <alignment horizontal="center" vertical="center" wrapText="1"/>
    </xf>
    <xf numFmtId="164" fontId="25" fillId="5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vertical="center" wrapText="1"/>
    </xf>
    <xf numFmtId="2" fontId="7" fillId="6" borderId="16" xfId="0" applyNumberFormat="1" applyFont="1" applyFill="1" applyBorder="1" applyAlignment="1">
      <alignment horizontal="right" vertical="center"/>
    </xf>
    <xf numFmtId="2" fontId="7" fillId="0" borderId="14" xfId="0" applyNumberFormat="1" applyFont="1" applyBorder="1" applyAlignment="1">
      <alignment horizontal="right" vertical="center"/>
    </xf>
    <xf numFmtId="2" fontId="7" fillId="6" borderId="14" xfId="0" applyNumberFormat="1" applyFont="1" applyFill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 vertical="center"/>
    </xf>
    <xf numFmtId="2" fontId="7" fillId="6" borderId="17" xfId="0" applyNumberFormat="1" applyFont="1" applyFill="1" applyBorder="1" applyAlignment="1">
      <alignment horizontal="right" vertical="center"/>
    </xf>
    <xf numFmtId="2" fontId="7" fillId="6" borderId="2" xfId="0" applyNumberFormat="1" applyFont="1" applyFill="1" applyBorder="1" applyAlignment="1">
      <alignment horizontal="right" vertical="center"/>
    </xf>
    <xf numFmtId="2" fontId="7" fillId="6" borderId="3" xfId="0" applyNumberFormat="1" applyFont="1" applyFill="1" applyBorder="1"/>
    <xf numFmtId="2" fontId="7" fillId="0" borderId="5" xfId="0" applyNumberFormat="1" applyFont="1" applyBorder="1"/>
    <xf numFmtId="2" fontId="7" fillId="6" borderId="5" xfId="0" applyNumberFormat="1" applyFont="1" applyFill="1" applyBorder="1"/>
    <xf numFmtId="2" fontId="7" fillId="0" borderId="18" xfId="0" applyNumberFormat="1" applyFont="1" applyBorder="1"/>
    <xf numFmtId="2" fontId="7" fillId="6" borderId="18" xfId="0" applyNumberFormat="1" applyFont="1" applyFill="1" applyBorder="1"/>
    <xf numFmtId="164" fontId="25" fillId="2" borderId="3" xfId="0" applyNumberFormat="1" applyFont="1" applyFill="1" applyBorder="1" applyAlignment="1">
      <alignment horizontal="center" vertical="center" wrapText="1"/>
    </xf>
    <xf numFmtId="164" fontId="25" fillId="5" borderId="3" xfId="0" applyNumberFormat="1" applyFont="1" applyFill="1" applyBorder="1" applyAlignment="1">
      <alignment horizontal="center" vertical="center" wrapText="1"/>
    </xf>
    <xf numFmtId="2" fontId="7" fillId="6" borderId="3" xfId="0" applyNumberFormat="1" applyFont="1" applyFill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2" fontId="7" fillId="6" borderId="5" xfId="0" applyNumberFormat="1" applyFont="1" applyFill="1" applyBorder="1" applyAlignment="1">
      <alignment vertical="center"/>
    </xf>
    <xf numFmtId="2" fontId="7" fillId="0" borderId="18" xfId="0" applyNumberFormat="1" applyFont="1" applyBorder="1" applyAlignment="1">
      <alignment vertical="center"/>
    </xf>
    <xf numFmtId="2" fontId="7" fillId="6" borderId="18" xfId="0" applyNumberFormat="1" applyFont="1" applyFill="1" applyBorder="1" applyAlignment="1">
      <alignment vertical="center"/>
    </xf>
    <xf numFmtId="2" fontId="0" fillId="6" borderId="3" xfId="0" applyNumberFormat="1" applyFill="1" applyBorder="1"/>
    <xf numFmtId="2" fontId="0" fillId="0" borderId="1" xfId="0" applyNumberFormat="1" applyBorder="1"/>
    <xf numFmtId="2" fontId="0" fillId="6" borderId="1" xfId="0" applyNumberFormat="1" applyFill="1" applyBorder="1"/>
    <xf numFmtId="1" fontId="0" fillId="0" borderId="3" xfId="0" applyNumberFormat="1" applyBorder="1"/>
    <xf numFmtId="1" fontId="0" fillId="6" borderId="3" xfId="0" applyNumberFormat="1" applyFill="1" applyBorder="1"/>
    <xf numFmtId="0" fontId="0" fillId="0" borderId="1" xfId="0" applyBorder="1"/>
    <xf numFmtId="0" fontId="0" fillId="6" borderId="1" xfId="0" applyFill="1" applyBorder="1"/>
    <xf numFmtId="0" fontId="0" fillId="6" borderId="3" xfId="0" applyFill="1" applyBorder="1"/>
    <xf numFmtId="164" fontId="6" fillId="0" borderId="25" xfId="0" applyNumberFormat="1" applyFont="1" applyBorder="1" applyAlignment="1">
      <alignment horizontal="center" vertical="center" wrapText="1"/>
    </xf>
    <xf numFmtId="164" fontId="6" fillId="6" borderId="52" xfId="0" applyNumberFormat="1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vertical="center" wrapText="1"/>
    </xf>
    <xf numFmtId="2" fontId="7" fillId="6" borderId="11" xfId="0" applyNumberFormat="1" applyFont="1" applyFill="1" applyBorder="1"/>
    <xf numFmtId="2" fontId="7" fillId="0" borderId="20" xfId="0" applyNumberFormat="1" applyFont="1" applyBorder="1"/>
    <xf numFmtId="2" fontId="7" fillId="6" borderId="20" xfId="0" applyNumberFormat="1" applyFont="1" applyFill="1" applyBorder="1"/>
    <xf numFmtId="2" fontId="7" fillId="0" borderId="19" xfId="0" applyNumberFormat="1" applyFont="1" applyBorder="1"/>
    <xf numFmtId="2" fontId="7" fillId="6" borderId="19" xfId="0" applyNumberFormat="1" applyFont="1" applyFill="1" applyBorder="1"/>
    <xf numFmtId="1" fontId="4" fillId="4" borderId="21" xfId="0" applyNumberFormat="1" applyFont="1" applyFill="1" applyBorder="1" applyAlignment="1" applyProtection="1">
      <alignment vertical="center" wrapText="1"/>
      <protection locked="0"/>
    </xf>
    <xf numFmtId="0" fontId="18" fillId="2" borderId="36" xfId="0" applyFont="1" applyFill="1" applyBorder="1" applyAlignment="1">
      <alignment horizontal="center" vertical="center" wrapText="1"/>
    </xf>
    <xf numFmtId="2" fontId="4" fillId="4" borderId="8" xfId="0" applyNumberFormat="1" applyFont="1" applyFill="1" applyBorder="1" applyAlignment="1" applyProtection="1">
      <alignment vertical="center" wrapText="1"/>
      <protection locked="0"/>
    </xf>
    <xf numFmtId="2" fontId="4" fillId="4" borderId="10" xfId="0" applyNumberFormat="1" applyFont="1" applyFill="1" applyBorder="1" applyAlignment="1" applyProtection="1">
      <alignment vertical="center" wrapText="1"/>
      <protection locked="0"/>
    </xf>
    <xf numFmtId="2" fontId="4" fillId="4" borderId="8" xfId="0" applyNumberFormat="1" applyFont="1" applyFill="1" applyBorder="1" applyAlignment="1">
      <alignment vertical="center" wrapText="1"/>
    </xf>
    <xf numFmtId="0" fontId="4" fillId="0" borderId="53" xfId="0" applyFont="1" applyBorder="1" applyAlignment="1">
      <alignment vertical="center"/>
    </xf>
    <xf numFmtId="0" fontId="21" fillId="2" borderId="25" xfId="0" applyFont="1" applyFill="1" applyBorder="1"/>
    <xf numFmtId="0" fontId="21" fillId="2" borderId="39" xfId="0" applyFont="1" applyFill="1" applyBorder="1" applyAlignment="1" applyProtection="1">
      <alignment horizontal="center" vertical="center"/>
      <protection locked="0"/>
    </xf>
    <xf numFmtId="0" fontId="21" fillId="2" borderId="37" xfId="0" applyFont="1" applyFill="1" applyBorder="1" applyAlignment="1" applyProtection="1">
      <alignment horizontal="center" wrapText="1"/>
      <protection locked="0"/>
    </xf>
    <xf numFmtId="1" fontId="21" fillId="2" borderId="37" xfId="0" applyNumberFormat="1" applyFont="1" applyFill="1" applyBorder="1" applyProtection="1">
      <protection locked="0"/>
    </xf>
    <xf numFmtId="2" fontId="21" fillId="2" borderId="37" xfId="0" applyNumberFormat="1" applyFont="1" applyFill="1" applyBorder="1" applyAlignment="1" applyProtection="1">
      <alignment horizontal="center"/>
      <protection locked="0"/>
    </xf>
    <xf numFmtId="2" fontId="21" fillId="2" borderId="37" xfId="0" applyNumberFormat="1" applyFont="1" applyFill="1" applyBorder="1" applyProtection="1">
      <protection locked="0"/>
    </xf>
    <xf numFmtId="0" fontId="3" fillId="0" borderId="0" xfId="0" applyFont="1"/>
    <xf numFmtId="0" fontId="21" fillId="0" borderId="15" xfId="0" applyFont="1" applyBorder="1" applyAlignment="1">
      <alignment vertical="center" wrapText="1"/>
    </xf>
    <xf numFmtId="0" fontId="21" fillId="0" borderId="51" xfId="0" applyFont="1" applyBorder="1"/>
    <xf numFmtId="0" fontId="21" fillId="0" borderId="51" xfId="0" applyFont="1" applyBorder="1" applyAlignment="1">
      <alignment vertical="center"/>
    </xf>
    <xf numFmtId="0" fontId="21" fillId="0" borderId="51" xfId="0" applyFont="1" applyBorder="1" applyAlignment="1">
      <alignment vertical="center" wrapText="1"/>
    </xf>
    <xf numFmtId="0" fontId="21" fillId="0" borderId="15" xfId="0" applyFont="1" applyBorder="1"/>
    <xf numFmtId="0" fontId="18" fillId="0" borderId="62" xfId="0" applyFont="1" applyBorder="1" applyAlignment="1">
      <alignment horizontal="center" vertical="center" wrapText="1"/>
    </xf>
    <xf numFmtId="0" fontId="18" fillId="6" borderId="62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21" fillId="0" borderId="32" xfId="0" applyFont="1" applyBorder="1" applyAlignment="1">
      <alignment vertical="center" wrapText="1"/>
    </xf>
    <xf numFmtId="0" fontId="21" fillId="0" borderId="15" xfId="0" applyFont="1" applyBorder="1" applyAlignment="1">
      <alignment wrapText="1"/>
    </xf>
    <xf numFmtId="0" fontId="21" fillId="0" borderId="51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" fontId="4" fillId="4" borderId="55" xfId="0" applyNumberFormat="1" applyFont="1" applyFill="1" applyBorder="1" applyAlignment="1" applyProtection="1">
      <alignment horizontal="right" vertical="center" wrapText="1"/>
      <protection locked="0"/>
    </xf>
    <xf numFmtId="1" fontId="4" fillId="4" borderId="8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55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0" fontId="4" fillId="4" borderId="7" xfId="0" applyFont="1" applyFill="1" applyBorder="1" applyAlignment="1" applyProtection="1">
      <alignment horizontal="left" vertical="center" wrapText="1"/>
      <protection locked="0"/>
    </xf>
    <xf numFmtId="1" fontId="4" fillId="4" borderId="7" xfId="0" applyNumberFormat="1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0" fontId="4" fillId="4" borderId="34" xfId="0" applyFont="1" applyFill="1" applyBorder="1" applyAlignment="1" applyProtection="1">
      <alignment horizontal="left" vertical="center" wrapText="1"/>
      <protection locked="0"/>
    </xf>
    <xf numFmtId="1" fontId="4" fillId="4" borderId="34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34" xfId="0" applyFont="1" applyFill="1" applyBorder="1" applyAlignment="1" applyProtection="1">
      <alignment horizontal="center" vertical="center"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1" fontId="4" fillId="4" borderId="55" xfId="0" applyNumberFormat="1" applyFont="1" applyFill="1" applyBorder="1" applyAlignment="1" applyProtection="1">
      <alignment horizontal="right" vertical="center"/>
      <protection locked="0"/>
    </xf>
    <xf numFmtId="0" fontId="5" fillId="0" borderId="24" xfId="0" applyFont="1" applyBorder="1" applyAlignment="1">
      <alignment horizont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27" xfId="0" applyFont="1" applyFill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27" fillId="6" borderId="27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center" vertical="center" wrapText="1"/>
    </xf>
    <xf numFmtId="0" fontId="19" fillId="5" borderId="49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 applyProtection="1">
      <alignment horizontal="center" wrapText="1"/>
      <protection locked="0"/>
    </xf>
    <xf numFmtId="0" fontId="21" fillId="2" borderId="34" xfId="0" applyFont="1" applyFill="1" applyBorder="1" applyAlignment="1" applyProtection="1">
      <alignment horizontal="center" wrapText="1"/>
      <protection locked="0"/>
    </xf>
    <xf numFmtId="0" fontId="21" fillId="5" borderId="36" xfId="0" applyFont="1" applyFill="1" applyBorder="1" applyAlignment="1" applyProtection="1">
      <alignment horizontal="center" wrapText="1"/>
      <protection locked="0"/>
    </xf>
    <xf numFmtId="0" fontId="21" fillId="5" borderId="37" xfId="0" applyFont="1" applyFill="1" applyBorder="1" applyAlignment="1" applyProtection="1">
      <alignment horizontal="center" wrapText="1"/>
      <protection locked="0"/>
    </xf>
    <xf numFmtId="0" fontId="18" fillId="5" borderId="36" xfId="0" applyFont="1" applyFill="1" applyBorder="1" applyAlignment="1">
      <alignment vertical="top" wrapText="1"/>
    </xf>
    <xf numFmtId="0" fontId="20" fillId="5" borderId="38" xfId="0" applyFont="1" applyFill="1" applyBorder="1" applyAlignment="1">
      <alignment vertical="top" wrapText="1"/>
    </xf>
    <xf numFmtId="0" fontId="17" fillId="0" borderId="40" xfId="0" applyFont="1" applyBorder="1" applyAlignment="1">
      <alignment horizontal="center" vertical="top" wrapText="1"/>
    </xf>
    <xf numFmtId="0" fontId="17" fillId="0" borderId="24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34" xfId="0" applyFont="1" applyBorder="1" applyAlignment="1">
      <alignment horizontal="center" vertical="top" wrapText="1"/>
    </xf>
    <xf numFmtId="0" fontId="14" fillId="0" borderId="50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0" fontId="16" fillId="5" borderId="58" xfId="0" applyFont="1" applyFill="1" applyBorder="1" applyAlignment="1">
      <alignment horizontal="center"/>
    </xf>
    <xf numFmtId="0" fontId="16" fillId="5" borderId="36" xfId="0" applyFont="1" applyFill="1" applyBorder="1" applyAlignment="1">
      <alignment horizontal="center"/>
    </xf>
    <xf numFmtId="0" fontId="16" fillId="5" borderId="38" xfId="0" applyFont="1" applyFill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99FFCC"/>
      <color rgb="FFCCFFCC"/>
      <color rgb="FFFFCC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36.xml"/><Relationship Id="rId55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49.xml"/><Relationship Id="rId68" Type="http://schemas.openxmlformats.org/officeDocument/2006/relationships/externalLink" Target="externalLinks/externalLink54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5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externalLink" Target="externalLinks/externalLink31.xml"/><Relationship Id="rId53" Type="http://schemas.openxmlformats.org/officeDocument/2006/relationships/externalLink" Target="externalLinks/externalLink39.xml"/><Relationship Id="rId58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5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43.xml"/><Relationship Id="rId61" Type="http://schemas.openxmlformats.org/officeDocument/2006/relationships/externalLink" Target="externalLinks/externalLink4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38.xml"/><Relationship Id="rId60" Type="http://schemas.openxmlformats.org/officeDocument/2006/relationships/externalLink" Target="externalLinks/externalLink46.xml"/><Relationship Id="rId65" Type="http://schemas.openxmlformats.org/officeDocument/2006/relationships/externalLink" Target="externalLinks/externalLink51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42.xml"/><Relationship Id="rId64" Type="http://schemas.openxmlformats.org/officeDocument/2006/relationships/externalLink" Target="externalLinks/externalLink50.xml"/><Relationship Id="rId69" Type="http://schemas.openxmlformats.org/officeDocument/2006/relationships/externalLink" Target="externalLinks/externalLink5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7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32.xml"/><Relationship Id="rId59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53.xml"/><Relationship Id="rId20" Type="http://schemas.openxmlformats.org/officeDocument/2006/relationships/externalLink" Target="externalLinks/externalLink6.xml"/><Relationship Id="rId41" Type="http://schemas.openxmlformats.org/officeDocument/2006/relationships/externalLink" Target="externalLinks/externalLink27.xml"/><Relationship Id="rId54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48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124%20&#1089;&#1091;&#1087;%20&#1082;&#1072;&#1088;&#1090;&#1086;&#1092;&#1077;&#1083;&#1100;&#1085;&#1099;&#1081;%20&#1089;%20&#1092;&#1088;&#1080;&#1082;&#1072;&#1076;&#1077;&#1083;&#1100;&#1082;&#1072;&#1084;&#108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146%20&#1092;&#1088;&#1080;&#1082;&#1072;&#1076;&#1077;&#1083;&#1100;&#1082;&#1080;%20&#1088;&#1099;&#1073;&#1085;&#1099;&#1077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3%20&#1076;&#1077;&#1085;&#1100;/223%20&#1082;&#1072;&#1096;&#1072;%20&#1087;&#1096;&#1077;&#1085;&#1085;&#1072;&#1103;%20&#1074;&#1103;&#1079;&#1082;&#1072;&#1103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79%20&#1084;&#1072;&#1089;&#1083;&#1086;%20&#1089;&#1083;&#1080;&#1074;&#1086;&#1095;&#1085;&#1086;&#1077;%20(%20&#1087;&#1086;&#1088;&#1094;&#1080;&#1103;&#1084;&#1080;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13%20&#1089;&#1091;&#1087;%20&#1082;&#1072;&#1088;&#1090;&#1086;&#1092;&#1077;&#1083;&#1100;&#1085;&#1099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286%20&#1089;&#1099;&#1088;&#1085;&#1080;&#1082;&#1080;%20&#1080;&#1079;%20&#1090;&#1074;&#1086;&#1088;&#1086;&#1075;&#1072;%20&#1079;&#1072;&#1087;&#1077;&#1095;&#1077;&#1085;&#1085;&#1099;&#1077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4%20&#1076;&#1077;&#1085;&#1100;/460%20&#1095;&#1072;&#1081;%20&#1089;%20&#1084;&#1086;&#1083;&#1086;&#1082;&#1086;&#1084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470%20&#1082;&#1080;&#1089;&#1083;&#1086;&#1084;&#1086;&#1083;&#1086;&#1095;&#1085;&#1099;&#1081;%20&#1085;&#1072;&#1087;&#1080;&#1090;&#1086;&#1082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03%20&#1097;&#1080;%20&#1080;&#1079;%20&#1089;&#1074;&#1077;&#1078;&#1077;&#1081;%20&#1082;&#1072;&#1087;&#1091;&#1089;&#1090;&#109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87%20&#1073;&#1091;&#1083;&#1100;&#1086;&#1085;%20&#1080;&#1079;%20&#1082;&#1091;&#1088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07%20&#1082;&#1086;&#1090;&#1083;&#1077;&#1090;&#1099;%20&#1080;&#1083;&#1080;%20&#1073;&#1080;&#1090;&#1086;&#1095;&#1082;&#1080;%20&#1088;&#1099;&#1073;&#1085;&#1099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45%20&#1092;&#1088;&#1080;&#1082;&#1072;&#1076;&#1077;&#1083;&#1100;&#1082;&#1080;%20&#1084;&#1103;&#1089;&#1085;&#1099;&#1077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5%20&#1076;&#1077;&#1085;&#1100;/377%20&#1087;&#1102;&#1088;&#1077;%20&#1082;&#1072;&#1088;&#1090;&#1086;&#1092;&#1077;&#1083;&#1100;&#1085;&#1086;&#1077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495%20&#1082;&#1086;&#1084;&#1087;&#1086;&#1090;%20&#1080;&#1079;%20&#1089;&#1084;&#1077;&#1089;&#1080;%20&#1089;&#1091;&#1093;&#1086;&#1092;&#1088;&#1091;&#1082;&#1090;&#1086;&#1074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01%20&#1088;&#1072;&#1089;&#1089;&#1086;&#1083;&#1100;&#1085;&#1080;&#1082;%20&#1076;&#1086;&#1084;&#1072;&#1096;&#1085;&#1080;&#1081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8%20&#1076;&#1077;&#1085;&#1100;/150%20&#1080;&#1082;&#1088;&#1072;%20&#1082;&#1072;&#1073;&#1072;&#1095;&#1082;&#1086;&#1074;&#1072;&#1103;%20(%20&#1087;&#1088;&#1086;&#1084;&#1099;&#1096;&#1083;&#1077;&#1085;&#1085;&#1086;&#1075;&#1086;%20&#1087;&#1088;&#1086;&#1080;&#1079;&#1074;&#1086;&#1076;&#1089;&#1090;&#1074;&#1072;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152%20&#1082;&#1072;&#1088;&#1090;&#1086;&#1092;&#1077;&#1083;&#1100;%20&#1086;&#1090;&#1074;&#1072;&#1088;&#1085;&#1086;&#1081;%20&#1089;%20&#1084;&#1072;&#1089;&#1083;&#1086;&#1084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104%20&#1097;&#1080;%20&#1080;&#1079;%20&#1089;&#1074;&#1077;&#1078;&#1077;&#1081;%20&#1082;&#1072;&#1087;&#1091;&#1089;&#1090;&#1099;%20&#1089;%20&#1082;&#1072;&#1088;&#1090;&#1086;&#1092;&#1077;&#1083;&#1077;&#1084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76%20&#1088;&#1072;&#1075;&#1091;%20&#1080;&#1079;%20&#1087;&#1090;&#1080;&#1094;&#109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433%20&#1089;&#1084;&#1077;&#1090;&#1072;&#1085;&#1072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43%20&#1089;&#1072;&#1083;&#1072;&#1090;%20&#1082;&#1072;&#1088;&#1090;&#1086;&#1092;&#1077;&#1083;&#1100;&#1085;&#1099;&#1081;%20&#1089;%20&#1086;&#1075;&#1091;&#1088;&#1094;&#1072;&#1084;&#1080;%20&#1089;&#1086;&#1083;&#1077;&#1085;&#1099;&#1084;&#1080;%20&#1080;&#1083;&#1080;%20&#1082;&#1072;&#1087;&#1091;&#1089;&#1090;&#1086;&#1081;%20&#1082;&#1074;&#1072;&#1096;&#1077;&#1085;&#1086;&#1081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33%20&#1075;&#1086;&#1083;&#1091;&#1073;&#1094;&#1099;%20&#1083;&#1077;&#1085;&#1080;&#1074;&#1099;&#10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68%20&#1086;&#1084;&#1083;&#1077;&#1090;%20&#1085;&#1072;&#1090;&#1091;&#1088;&#1072;&#1083;&#1100;&#1085;&#1099;&#1081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483%20&#1082;&#1080;&#1089;&#1077;&#1083;&#1100;%20&#1080;&#1079;%20&#1087;&#1086;&#1074;&#1080;&#1076;&#1083;&#1072;,%20&#1076;&#1078;&#1077;&#1084;&#1072;,%20&#1074;&#1072;&#1088;&#1077;&#1085;&#1100;&#1103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73%20&#1082;&#1086;&#1090;&#1083;&#1077;&#1090;&#1099;%20&#1085;&#1077;&#1078;&#1085;&#1099;&#1077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23%20&#1082;&#1072;&#1096;&#1072;%20&#1087;&#1096;&#1077;&#1085;&#1085;&#1072;&#1103;%20&#1074;&#1103;&#1079;&#1082;&#1072;&#1103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9%20&#1076;&#1077;&#1085;&#1100;/457%20&#1095;&#1072;&#1081;%20&#1089;%20&#1089;&#1072;&#1093;&#1072;&#1088;&#1086;&#1084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259%20&#1084;&#1072;&#1082;&#1072;&#1088;&#1086;&#1085;&#1085;&#1099;&#1077;%20&#1080;&#1079;&#1076;&#1077;&#1083;&#1080;&#1103;%20&#1086;&#1090;&#1074;&#1072;&#1088;&#1085;&#1099;&#1077;%20&#1089;%20&#1089;&#1099;&#1088;&#1086;&#1084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86%20&#1089;&#1099;&#1088;&#1085;&#1080;&#1082;&#1080;%20&#1080;&#1079;%20&#1090;&#1074;&#1086;&#1088;&#1086;&#1075;&#1072;%20&#1079;&#1072;&#1087;&#1077;&#1095;&#1077;&#1085;&#1085;&#1099;&#1077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5%20&#1076;&#1077;&#1085;&#1100;/103%20&#1097;&#1080;%20&#1080;&#1079;%20&#1089;&#1074;&#1077;&#1078;&#1077;&#1081;%20&#1082;&#1072;&#1087;&#1091;&#1089;&#1090;&#109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78%20&#1076;&#1088;&#1072;&#1095;&#1077;&#1085;&#1072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28%20&#1089;&#1091;&#1087;%20&#1075;&#1086;&#1088;&#1086;&#1093;&#1086;&#1074;&#1099;&#1081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59%20&#1084;&#1072;&#1082;&#1072;&#1088;&#1086;&#1085;&#1085;&#1099;&#1077;%20&#1080;&#1079;&#1076;&#1077;&#1083;&#1080;&#1103;%20&#1086;&#1090;&#1074;&#1072;&#1088;&#1085;&#1099;&#1077;%20&#1089;%20&#1089;&#1099;&#1088;&#1086;&#108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3%20&#1076;&#1077;&#1085;&#1100;/494%20&#1082;&#1086;&#1084;&#1087;&#1086;&#1090;%20&#1080;&#1079;%20&#1087;&#1083;&#1086;&#1076;&#1086;&#1074;%20&#1080;&#1083;&#1080;%20&#1103;&#1075;&#1086;&#1076;%20&#1089;&#1091;&#1096;&#1077;&#1085;&#1099;&#1093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24%20&#1089;&#1091;&#1087;%20&#1082;&#1072;&#1088;&#1090;&#1086;&#1092;&#1077;&#1083;&#1100;&#1085;&#1099;&#1081;%20&#1089;%20&#1092;&#1088;&#1080;&#1082;&#1072;&#1076;&#1077;&#1083;&#1100;&#1082;&#1072;&#1084;&#1080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328%20&#1078;&#1072;&#1088;&#1082;&#1086;&#1077;%20&#1087;&#1086;-&#1076;&#1086;&#1084;&#1072;&#1096;&#1085;&#1077;&#1084;&#1091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3%20&#1076;&#1077;&#1085;&#1100;/124%20&#1089;&#1091;&#1087;%20&#1082;&#1072;&#1088;&#1090;&#1086;&#1092;&#1077;&#1083;&#1100;&#1085;&#1099;&#1081;%20&#1089;%20&#1092;&#1088;&#1080;&#1082;&#1072;&#1076;&#1077;&#1083;&#1100;&#1082;&#1072;&#1084;&#108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152%20&#1082;&#1072;&#1088;&#1090;&#1086;&#1092;&#1077;&#1083;&#1100;%20&#1086;&#1090;&#1074;&#1072;&#1088;&#1085;&#1086;&#1081;%20&#1089;%20&#1084;&#1072;&#1089;&#1083;&#1086;&#1084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95%20&#1073;&#1086;&#1088;&#1097;%20&#1089;%20&#1082;&#1072;&#1087;&#1091;&#1089;&#1090;&#1086;&#1081;%20&#1080;%20&#1082;&#1072;&#1088;&#1090;&#1086;&#1092;&#1077;&#1083;&#1077;&#1084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43%20&#1089;&#1072;&#1083;&#1072;&#1090;%20&#1082;&#1072;&#1088;&#1090;&#1086;&#1092;&#1077;&#1083;&#1100;&#1085;&#1099;&#1081;%20&#1089;%20&#1086;&#1075;&#1091;&#1088;&#1094;&#1072;&#1084;&#1080;%20&#1089;&#1086;&#1083;&#1077;&#1085;&#1099;&#1084;&#1080;%20&#1080;&#1083;&#1080;%20&#1082;&#1072;&#1087;&#1091;&#1089;&#1090;&#1086;&#1081;%20&#1082;&#1074;&#1072;&#1096;&#1077;&#1085;&#1086;&#1081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89%20&#1073;&#1091;&#1083;&#1100;&#1086;&#1085;%20&#1084;&#1103;&#1089;&#1085;&#1086;&#1081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5%20&#1076;&#1077;&#1085;&#1100;/87%20&#1073;&#1091;&#1083;&#1100;&#1086;&#1085;%20&#1080;&#1079;%20&#1082;&#1091;&#1088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50;/3%20&#1076;&#1077;&#1085;&#1100;/146%20&#1092;&#1088;&#1080;&#1082;&#1072;&#1076;&#1077;&#1083;&#1100;&#1082;&#1080;%20&#1088;&#1099;&#1073;&#1085;&#1099;&#1077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6%20&#1089;&#1072;&#1083;&#1072;&#1090;%20&#1080;&#1079;%20&#1089;&#1074;&#1077;&#1082;&#1083;&#1099;%20&#1086;&#1090;&#1074;&#1072;&#1088;&#1085;&#1086;&#108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150%20&#1080;&#1082;&#1088;&#1072;%20&#1082;&#1072;&#1073;&#1072;&#1095;&#1082;&#1086;&#1074;&#1072;&#1103;%20(%20&#1087;&#1088;&#1086;&#1084;&#1099;&#1096;&#1083;&#1077;&#1085;&#1085;&#1086;&#1075;&#1086;%20&#1087;&#1088;&#1086;&#1080;&#1079;&#1074;&#1086;&#1076;&#1089;&#1090;&#1074;&#1072;)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82%20&#1092;&#1088;&#1091;&#1082;&#1090;&#1099;%20&#1089;&#1074;&#1077;&#1078;&#1080;&#1077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495%20&#1082;&#1086;&#1084;&#1087;&#1086;&#1090;%20&#1080;&#1079;%20&#1089;&#1084;&#1077;&#1089;&#1080;%20&#1089;&#1091;&#1093;&#1086;&#1092;&#1088;&#1091;&#1082;&#1090;&#1086;&#1074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470%20&#1082;&#1080;&#1089;&#1083;&#1086;&#1084;&#1086;&#1083;&#1086;&#1095;&#1085;&#1099;&#1081;%20&#1085;&#1072;&#1087;&#1080;&#1090;&#1086;&#1082;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433%20&#1089;&#1084;&#1077;&#1090;&#1072;&#1085;&#1072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483%20&#1082;&#1080;&#1089;&#1077;&#1083;&#1100;%20&#1080;&#1079;%20&#1087;&#1086;&#1074;&#1080;&#1076;&#1083;&#1072;,%20&#1076;&#1078;&#1077;&#1084;&#1072;,%20&#1074;&#1072;&#1088;&#1077;&#1085;&#1100;&#1103;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82;%20&#1086;&#1073;&#1077;&#1076;/217%20&#1082;&#1072;&#1096;&#1072;%20&#1088;&#1080;&#1089;&#1086;&#1074;&#1072;&#1103;%20&#1074;&#1103;&#1079;&#1082;&#1072;&#110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128%20&#1089;&#1091;&#1087;%20&#1075;&#1086;&#1088;&#1086;&#1093;&#1086;&#1074;&#1099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95%20&#1073;&#1086;&#1088;&#1097;%20&#1089;%20&#1082;&#1072;&#1087;&#1091;&#1089;&#1090;&#1086;&#1081;%20&#1080;%20&#1082;&#1072;&#1088;&#1090;&#1086;&#1092;&#1077;&#1083;&#1077;&#1084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1)&#1085;&#1086;&#1074;&#1086;&#1077;%20&#1084;&#1077;&#1085;&#1102;/&#1084;&#1077;&#1085;&#1102;%20&#1085;&#1072;%20&#1086;&#1089;&#1085;&#1086;&#1074;&#1077;%20&#1082;&#1086;&#1085;&#1094;&#1077;&#1087;&#1094;&#1080;&#1080;%202024/&#1054;&#1042;&#1047;/&#1054;&#1042;&#1047;%20&#1058;&#1050;/328%20&#1078;&#1072;&#1088;&#1082;&#1086;&#1077;%20&#1087;&#1086;-&#1076;&#1086;&#1084;&#1072;&#1096;&#1085;&#1077;&#1084;&#1091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501%20&#1089;&#1086;&#1082;&#1080;%20&#1086;&#1074;&#1086;&#1097;&#1085;&#1099;&#1077;,%20&#1092;&#1088;&#1091;&#1082;&#1090;&#1086;&#1074;&#1099;&#1077;%20&#1080;%20&#1103;&#1075;&#1086;&#1076;&#1085;&#109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7.42</v>
          </cell>
          <cell r="M11">
            <v>22.92</v>
          </cell>
        </row>
        <row r="12">
          <cell r="J12">
            <v>6.52</v>
          </cell>
          <cell r="M12">
            <v>117.02</v>
          </cell>
        </row>
        <row r="13">
          <cell r="J13">
            <v>11.86</v>
          </cell>
          <cell r="M13">
            <v>30.46</v>
          </cell>
        </row>
        <row r="14">
          <cell r="J14">
            <v>135.80000000000001</v>
          </cell>
          <cell r="M14">
            <v>1.8133333333333332</v>
          </cell>
        </row>
        <row r="15">
          <cell r="M15">
            <v>8.36</v>
          </cell>
        </row>
        <row r="16">
          <cell r="M16">
            <v>0.11333333333333333</v>
          </cell>
        </row>
        <row r="17">
          <cell r="M17">
            <v>5.68</v>
          </cell>
        </row>
        <row r="18">
          <cell r="M18">
            <v>1.1599999999999999</v>
          </cell>
        </row>
        <row r="24">
          <cell r="J24">
            <v>9.2750000000000004</v>
          </cell>
          <cell r="M24">
            <v>28.65</v>
          </cell>
        </row>
        <row r="25">
          <cell r="J25">
            <v>8.15</v>
          </cell>
          <cell r="M25">
            <v>146.27500000000001</v>
          </cell>
        </row>
        <row r="26">
          <cell r="J26">
            <v>14.824999999999999</v>
          </cell>
          <cell r="M26">
            <v>38.075000000000003</v>
          </cell>
        </row>
        <row r="27">
          <cell r="J27">
            <v>169.75</v>
          </cell>
          <cell r="M27">
            <v>2.2666666666666666</v>
          </cell>
        </row>
        <row r="28">
          <cell r="M28">
            <v>10.45</v>
          </cell>
        </row>
        <row r="29">
          <cell r="M29">
            <v>0.14166666666666666</v>
          </cell>
        </row>
        <row r="30">
          <cell r="M30">
            <v>7.1</v>
          </cell>
        </row>
        <row r="31">
          <cell r="M31">
            <v>1.45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4.1333333333333329</v>
          </cell>
        </row>
        <row r="35">
          <cell r="J35">
            <v>5.166666666666667</v>
          </cell>
          <cell r="M35">
            <v>10.0275</v>
          </cell>
        </row>
        <row r="36">
          <cell r="J36">
            <v>0.38150000000000001</v>
          </cell>
          <cell r="M36">
            <v>63.98</v>
          </cell>
        </row>
        <row r="37">
          <cell r="J37">
            <v>0.54583333333333339</v>
          </cell>
          <cell r="M37">
            <v>9.5724999999999998</v>
          </cell>
        </row>
        <row r="38">
          <cell r="J38">
            <v>26.316666666666666</v>
          </cell>
          <cell r="M38">
            <v>0.24808333333333335</v>
          </cell>
        </row>
        <row r="39">
          <cell r="M39">
            <v>0.375</v>
          </cell>
        </row>
        <row r="40">
          <cell r="M40">
            <v>2.658333333333333E-2</v>
          </cell>
        </row>
        <row r="41">
          <cell r="M41">
            <v>7.730833333333333</v>
          </cell>
        </row>
        <row r="42">
          <cell r="M42">
            <v>0.32200000000000001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6.3</v>
          </cell>
          <cell r="M11">
            <v>9.75</v>
          </cell>
        </row>
        <row r="12">
          <cell r="C12">
            <v>72</v>
          </cell>
          <cell r="D12">
            <v>72</v>
          </cell>
          <cell r="J12">
            <v>5.7</v>
          </cell>
          <cell r="M12">
            <v>150.9</v>
          </cell>
        </row>
        <row r="13">
          <cell r="J13">
            <v>27.6</v>
          </cell>
          <cell r="M13">
            <v>40.5</v>
          </cell>
        </row>
        <row r="14">
          <cell r="C14">
            <v>37.5</v>
          </cell>
          <cell r="D14">
            <v>37.049999999999997</v>
          </cell>
          <cell r="J14">
            <v>187.5</v>
          </cell>
          <cell r="M14">
            <v>1.08</v>
          </cell>
        </row>
        <row r="15">
          <cell r="C15">
            <v>3.75</v>
          </cell>
          <cell r="M15">
            <v>0.93</v>
          </cell>
        </row>
        <row r="16">
          <cell r="M16">
            <v>0.13500000000000001</v>
          </cell>
        </row>
        <row r="17">
          <cell r="M17">
            <v>28.65</v>
          </cell>
        </row>
        <row r="18">
          <cell r="M18">
            <v>0.1482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0.08</v>
          </cell>
          <cell r="M11">
            <v>0.23999999999999996</v>
          </cell>
        </row>
        <row r="12">
          <cell r="J12">
            <v>7.2466666666666661</v>
          </cell>
          <cell r="M12">
            <v>0.3</v>
          </cell>
        </row>
        <row r="13">
          <cell r="J13">
            <v>0.12666666666666665</v>
          </cell>
          <cell r="M13">
            <v>0</v>
          </cell>
        </row>
        <row r="14">
          <cell r="J14">
            <v>66.086666666666659</v>
          </cell>
          <cell r="M14">
            <v>2E-3</v>
          </cell>
        </row>
        <row r="15">
          <cell r="M15">
            <v>0</v>
          </cell>
        </row>
        <row r="16">
          <cell r="M16">
            <v>0</v>
          </cell>
        </row>
        <row r="17">
          <cell r="M17">
            <v>4</v>
          </cell>
        </row>
        <row r="18">
          <cell r="M18">
            <v>0.01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1.94</v>
          </cell>
          <cell r="M11">
            <v>19.78</v>
          </cell>
        </row>
        <row r="12">
          <cell r="J12">
            <v>2.08</v>
          </cell>
          <cell r="M12">
            <v>63.58</v>
          </cell>
        </row>
        <row r="13">
          <cell r="C13">
            <v>120</v>
          </cell>
          <cell r="D13">
            <v>90</v>
          </cell>
          <cell r="J13">
            <v>13</v>
          </cell>
          <cell r="M13">
            <v>25.92</v>
          </cell>
        </row>
        <row r="14">
          <cell r="C14">
            <v>10</v>
          </cell>
          <cell r="D14">
            <v>7.8</v>
          </cell>
          <cell r="J14">
            <v>78.400000000000006</v>
          </cell>
          <cell r="M14">
            <v>1.0133333333333334</v>
          </cell>
        </row>
        <row r="15">
          <cell r="C15">
            <v>9.6</v>
          </cell>
          <cell r="D15">
            <v>8.06</v>
          </cell>
          <cell r="M15">
            <v>9.36</v>
          </cell>
        </row>
        <row r="16">
          <cell r="C16">
            <v>2</v>
          </cell>
          <cell r="D16">
            <v>2</v>
          </cell>
          <cell r="M16">
            <v>0.10666666666666667</v>
          </cell>
        </row>
        <row r="17">
          <cell r="C17">
            <v>2</v>
          </cell>
          <cell r="D17">
            <v>2</v>
          </cell>
          <cell r="M17">
            <v>0</v>
          </cell>
        </row>
        <row r="18">
          <cell r="C18">
            <v>1.2</v>
          </cell>
          <cell r="D18">
            <v>1.2</v>
          </cell>
          <cell r="M18">
            <v>1.04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29.594999999999999</v>
          </cell>
          <cell r="M11">
            <v>219.80025000000001</v>
          </cell>
        </row>
        <row r="12">
          <cell r="J12">
            <v>7.8</v>
          </cell>
          <cell r="M12">
            <v>309.9975</v>
          </cell>
        </row>
        <row r="13">
          <cell r="J13">
            <v>31.897500000000001</v>
          </cell>
          <cell r="M13">
            <v>32.299500000000002</v>
          </cell>
        </row>
        <row r="14">
          <cell r="J14">
            <v>315.9975</v>
          </cell>
          <cell r="M14">
            <v>0.99</v>
          </cell>
        </row>
        <row r="15">
          <cell r="M15">
            <v>0.3</v>
          </cell>
        </row>
        <row r="16">
          <cell r="M16">
            <v>7.9500000000000001E-2</v>
          </cell>
        </row>
        <row r="17">
          <cell r="M17">
            <v>58.599749999999993</v>
          </cell>
        </row>
        <row r="18">
          <cell r="M18">
            <v>0.495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1.44</v>
          </cell>
          <cell r="M11">
            <v>53.19</v>
          </cell>
        </row>
        <row r="12">
          <cell r="J12">
            <v>1.17</v>
          </cell>
          <cell r="M12">
            <v>41.31</v>
          </cell>
        </row>
        <row r="13">
          <cell r="J13">
            <v>10.35</v>
          </cell>
          <cell r="M13">
            <v>9.4499999999999993</v>
          </cell>
        </row>
        <row r="14">
          <cell r="C14">
            <v>0.9</v>
          </cell>
          <cell r="J14">
            <v>57.6</v>
          </cell>
          <cell r="M14">
            <v>0.78299999999999992</v>
          </cell>
        </row>
        <row r="15">
          <cell r="M15">
            <v>0.27</v>
          </cell>
        </row>
        <row r="16">
          <cell r="C16">
            <v>9</v>
          </cell>
          <cell r="M16">
            <v>1.8000000000000002E-2</v>
          </cell>
        </row>
        <row r="17">
          <cell r="C17">
            <v>45</v>
          </cell>
          <cell r="M17">
            <v>8.5500000000000007</v>
          </cell>
        </row>
        <row r="18">
          <cell r="M18">
            <v>0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3.19</v>
          </cell>
          <cell r="M11">
            <v>132.44</v>
          </cell>
        </row>
        <row r="12">
          <cell r="J12">
            <v>2.75</v>
          </cell>
          <cell r="M12">
            <v>99.33</v>
          </cell>
        </row>
        <row r="13">
          <cell r="J13">
            <v>4.4000000000000004</v>
          </cell>
          <cell r="M13">
            <v>15.455</v>
          </cell>
        </row>
        <row r="14">
          <cell r="J14">
            <v>55.55</v>
          </cell>
          <cell r="M14">
            <v>0.11</v>
          </cell>
        </row>
        <row r="15">
          <cell r="M15">
            <v>0.77</v>
          </cell>
        </row>
        <row r="16">
          <cell r="M16">
            <v>4.4000000000000004E-2</v>
          </cell>
        </row>
        <row r="17">
          <cell r="M17">
            <v>22.055</v>
          </cell>
        </row>
        <row r="18">
          <cell r="M18">
            <v>0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1.56</v>
          </cell>
          <cell r="M11">
            <v>20.399999999999999</v>
          </cell>
        </row>
        <row r="12">
          <cell r="J12">
            <v>4.4666666666666668</v>
          </cell>
          <cell r="M12">
            <v>49</v>
          </cell>
        </row>
        <row r="13">
          <cell r="C13">
            <v>70</v>
          </cell>
          <cell r="D13">
            <v>56</v>
          </cell>
          <cell r="J13">
            <v>10.76</v>
          </cell>
          <cell r="M13">
            <v>20.399999999999999</v>
          </cell>
        </row>
        <row r="14">
          <cell r="C14">
            <v>10</v>
          </cell>
          <cell r="D14">
            <v>7.8</v>
          </cell>
          <cell r="J14">
            <v>85.799999999999983</v>
          </cell>
          <cell r="M14">
            <v>0.78</v>
          </cell>
        </row>
        <row r="15">
          <cell r="C15">
            <v>9.6</v>
          </cell>
          <cell r="D15">
            <v>8.06</v>
          </cell>
          <cell r="M15">
            <v>7.9</v>
          </cell>
        </row>
        <row r="16">
          <cell r="C16">
            <v>4</v>
          </cell>
          <cell r="D16">
            <v>4</v>
          </cell>
          <cell r="M16">
            <v>7.3333333333333334E-2</v>
          </cell>
        </row>
        <row r="17">
          <cell r="C17">
            <v>2.6</v>
          </cell>
          <cell r="D17">
            <v>1.94</v>
          </cell>
          <cell r="M17">
            <v>0</v>
          </cell>
        </row>
        <row r="18">
          <cell r="C18">
            <v>2</v>
          </cell>
          <cell r="D18">
            <v>2</v>
          </cell>
          <cell r="M18">
            <v>1.88</v>
          </cell>
        </row>
        <row r="20">
          <cell r="C20">
            <v>1.2</v>
          </cell>
          <cell r="D20">
            <v>1.2</v>
          </cell>
        </row>
        <row r="25">
          <cell r="J25">
            <v>1.95</v>
          </cell>
          <cell r="M25">
            <v>25.5</v>
          </cell>
        </row>
        <row r="26">
          <cell r="J26">
            <v>5.583333333333333</v>
          </cell>
          <cell r="M26">
            <v>61.25</v>
          </cell>
        </row>
        <row r="27">
          <cell r="J27">
            <v>13.45</v>
          </cell>
          <cell r="M27">
            <v>25.5</v>
          </cell>
        </row>
        <row r="28">
          <cell r="J28">
            <v>107.24999999999999</v>
          </cell>
          <cell r="M28">
            <v>0.97499999999999998</v>
          </cell>
        </row>
        <row r="29">
          <cell r="M29">
            <v>9.875</v>
          </cell>
        </row>
        <row r="30">
          <cell r="M30">
            <v>9.166666666666666E-2</v>
          </cell>
        </row>
        <row r="31">
          <cell r="M31">
            <v>0</v>
          </cell>
        </row>
        <row r="32">
          <cell r="M32">
            <v>2.35</v>
          </cell>
        </row>
      </sheetData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5">
          <cell r="D15">
            <v>1.575</v>
          </cell>
        </row>
        <row r="25">
          <cell r="C25">
            <v>43.2</v>
          </cell>
          <cell r="D25">
            <v>25.04</v>
          </cell>
        </row>
        <row r="27">
          <cell r="C27">
            <v>2.8</v>
          </cell>
          <cell r="D27">
            <v>2.1</v>
          </cell>
        </row>
        <row r="28">
          <cell r="C28">
            <v>2.6</v>
          </cell>
          <cell r="D28">
            <v>2.02</v>
          </cell>
        </row>
        <row r="29">
          <cell r="C29">
            <v>2.4</v>
          </cell>
          <cell r="D29">
            <v>2</v>
          </cell>
        </row>
        <row r="30">
          <cell r="C30">
            <v>0.2</v>
          </cell>
        </row>
        <row r="35">
          <cell r="J35">
            <v>7.15</v>
          </cell>
          <cell r="M35">
            <v>11.45</v>
          </cell>
        </row>
        <row r="36">
          <cell r="J36">
            <v>5.3</v>
          </cell>
          <cell r="M36">
            <v>52.7</v>
          </cell>
        </row>
        <row r="37">
          <cell r="J37">
            <v>0.6</v>
          </cell>
          <cell r="M37">
            <v>7.4749999999999996</v>
          </cell>
        </row>
        <row r="38">
          <cell r="J38">
            <v>78.75</v>
          </cell>
          <cell r="M38">
            <v>0.55833333333333335</v>
          </cell>
        </row>
        <row r="39">
          <cell r="M39">
            <v>0.75</v>
          </cell>
        </row>
        <row r="40">
          <cell r="M40">
            <v>1.7500000000000002E-2</v>
          </cell>
        </row>
        <row r="41">
          <cell r="M41">
            <v>30.45</v>
          </cell>
        </row>
        <row r="42">
          <cell r="M42">
            <v>0.22500000000000001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12</v>
          </cell>
        </row>
        <row r="12">
          <cell r="C12">
            <v>82.8</v>
          </cell>
          <cell r="D12">
            <v>60</v>
          </cell>
        </row>
        <row r="15">
          <cell r="C15">
            <v>22.8</v>
          </cell>
          <cell r="D15">
            <v>22.8</v>
          </cell>
        </row>
        <row r="16">
          <cell r="C16">
            <v>16.799999999999997</v>
          </cell>
          <cell r="D16">
            <v>16.799999999999997</v>
          </cell>
        </row>
        <row r="18">
          <cell r="C18">
            <v>1.2</v>
          </cell>
          <cell r="D18">
            <v>1.2</v>
          </cell>
        </row>
        <row r="19">
          <cell r="C19">
            <v>2.4</v>
          </cell>
          <cell r="D19">
            <v>2.4</v>
          </cell>
        </row>
        <row r="20">
          <cell r="C20">
            <v>0.9</v>
          </cell>
          <cell r="D20">
            <v>0.9</v>
          </cell>
        </row>
        <row r="26">
          <cell r="J26">
            <v>13.333333333333334</v>
          </cell>
          <cell r="M26">
            <v>66.666666666666671</v>
          </cell>
        </row>
        <row r="27">
          <cell r="J27">
            <v>2.6666666666666665</v>
          </cell>
          <cell r="M27">
            <v>178.66666666666666</v>
          </cell>
        </row>
        <row r="28">
          <cell r="J28">
            <v>16</v>
          </cell>
          <cell r="M28">
            <v>28</v>
          </cell>
        </row>
        <row r="29">
          <cell r="J29">
            <v>142.66666666666666</v>
          </cell>
          <cell r="M29">
            <v>1</v>
          </cell>
        </row>
        <row r="30">
          <cell r="M30">
            <v>0</v>
          </cell>
        </row>
        <row r="31">
          <cell r="M31">
            <v>0.14666666666666664</v>
          </cell>
        </row>
        <row r="32">
          <cell r="M32">
            <v>17.333333333333332</v>
          </cell>
        </row>
        <row r="33">
          <cell r="M33">
            <v>1.3333333333333333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5.706666666666667</v>
          </cell>
          <cell r="M11">
            <v>4.76</v>
          </cell>
        </row>
        <row r="12">
          <cell r="J12">
            <v>4.5326666666666666</v>
          </cell>
          <cell r="M12">
            <v>59.745999999999995</v>
          </cell>
        </row>
        <row r="13">
          <cell r="C13">
            <v>34.244</v>
          </cell>
          <cell r="D13">
            <v>32.533333333333331</v>
          </cell>
          <cell r="J13">
            <v>0.22666666666666671</v>
          </cell>
          <cell r="M13">
            <v>6.8933333333333326</v>
          </cell>
        </row>
        <row r="14">
          <cell r="C14">
            <v>3.3320000000000003</v>
          </cell>
          <cell r="D14">
            <v>2.2533333333333334</v>
          </cell>
          <cell r="J14">
            <v>64.540000000000006</v>
          </cell>
          <cell r="M14">
            <v>0.90000000000000013</v>
          </cell>
        </row>
        <row r="15">
          <cell r="C15">
            <v>2.5733333333333333</v>
          </cell>
          <cell r="D15">
            <v>2.2533333333333334</v>
          </cell>
          <cell r="M15">
            <v>0.11200000000000002</v>
          </cell>
        </row>
        <row r="16">
          <cell r="C16">
            <v>0.13999999999999999</v>
          </cell>
          <cell r="D16">
            <v>0.13999999999999999</v>
          </cell>
          <cell r="M16">
            <v>1.9866666666666668E-2</v>
          </cell>
        </row>
        <row r="17">
          <cell r="M17">
            <v>5.6333333333333329</v>
          </cell>
        </row>
        <row r="18">
          <cell r="M18">
            <v>0.14666666666666667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5">
          <cell r="J35">
            <v>4.2</v>
          </cell>
          <cell r="M35">
            <v>51</v>
          </cell>
        </row>
        <row r="36">
          <cell r="C36">
            <v>232</v>
          </cell>
          <cell r="D36">
            <v>174</v>
          </cell>
          <cell r="J36">
            <v>8</v>
          </cell>
          <cell r="M36">
            <v>103</v>
          </cell>
        </row>
        <row r="37">
          <cell r="C37">
            <v>30</v>
          </cell>
          <cell r="D37">
            <v>30</v>
          </cell>
          <cell r="J37">
            <v>12.2</v>
          </cell>
          <cell r="M37">
            <v>32.799999999999997</v>
          </cell>
        </row>
        <row r="38">
          <cell r="C38">
            <v>9</v>
          </cell>
          <cell r="J38">
            <v>136</v>
          </cell>
          <cell r="M38">
            <v>1.1599999999999999</v>
          </cell>
        </row>
        <row r="39">
          <cell r="C39">
            <v>0.8</v>
          </cell>
          <cell r="M39">
            <v>5</v>
          </cell>
        </row>
        <row r="40">
          <cell r="M40">
            <v>0.16</v>
          </cell>
        </row>
        <row r="41">
          <cell r="M41">
            <v>39.799999999999997</v>
          </cell>
        </row>
        <row r="42">
          <cell r="M42">
            <v>0.2</v>
          </cell>
        </row>
      </sheetData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0.6</v>
          </cell>
          <cell r="M23">
            <v>20.100000000000001</v>
          </cell>
        </row>
        <row r="24">
          <cell r="J24">
            <v>0.1</v>
          </cell>
          <cell r="M24">
            <v>19.2</v>
          </cell>
        </row>
        <row r="25">
          <cell r="J25">
            <v>20.100000000000001</v>
          </cell>
          <cell r="M25">
            <v>14.4</v>
          </cell>
        </row>
        <row r="26">
          <cell r="J26">
            <v>84</v>
          </cell>
          <cell r="M26">
            <v>0.69</v>
          </cell>
        </row>
        <row r="27">
          <cell r="M27">
            <v>0.2</v>
          </cell>
        </row>
        <row r="28">
          <cell r="M28">
            <v>0.01</v>
          </cell>
        </row>
        <row r="29">
          <cell r="M29">
            <v>0</v>
          </cell>
        </row>
        <row r="30">
          <cell r="M30">
            <v>0.4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">
          <cell r="J24">
            <v>1.56</v>
          </cell>
        </row>
        <row r="26">
          <cell r="C26">
            <v>80</v>
          </cell>
          <cell r="D26">
            <v>60</v>
          </cell>
        </row>
        <row r="27">
          <cell r="C27">
            <v>20</v>
          </cell>
          <cell r="D27">
            <v>16</v>
          </cell>
        </row>
        <row r="28">
          <cell r="C28">
            <v>20</v>
          </cell>
          <cell r="D28">
            <v>12</v>
          </cell>
        </row>
        <row r="29">
          <cell r="C29">
            <v>10</v>
          </cell>
          <cell r="D29">
            <v>7.8</v>
          </cell>
        </row>
        <row r="30">
          <cell r="C30">
            <v>9.6</v>
          </cell>
          <cell r="D30">
            <v>8.06</v>
          </cell>
        </row>
        <row r="31">
          <cell r="D31">
            <v>4</v>
          </cell>
        </row>
        <row r="32">
          <cell r="C32">
            <v>0.6</v>
          </cell>
          <cell r="D32">
            <v>0.6</v>
          </cell>
        </row>
        <row r="37">
          <cell r="J37">
            <v>1.95</v>
          </cell>
          <cell r="M37">
            <v>25.5</v>
          </cell>
        </row>
        <row r="38">
          <cell r="J38">
            <v>5.583333333333333</v>
          </cell>
          <cell r="M38">
            <v>61.25</v>
          </cell>
        </row>
        <row r="39">
          <cell r="J39">
            <v>13.45</v>
          </cell>
          <cell r="M39">
            <v>25.5</v>
          </cell>
        </row>
        <row r="40">
          <cell r="J40">
            <v>107.24999999999999</v>
          </cell>
          <cell r="M40">
            <v>0.97499999999999998</v>
          </cell>
        </row>
        <row r="41">
          <cell r="M41">
            <v>9.875</v>
          </cell>
        </row>
        <row r="42">
          <cell r="M42">
            <v>9.166666666666666E-2</v>
          </cell>
        </row>
        <row r="43">
          <cell r="M43">
            <v>0</v>
          </cell>
        </row>
        <row r="44">
          <cell r="M44">
            <v>2.35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1.33</v>
          </cell>
          <cell r="M11">
            <v>28.7</v>
          </cell>
        </row>
        <row r="12">
          <cell r="C12">
            <v>70</v>
          </cell>
          <cell r="D12">
            <v>70</v>
          </cell>
          <cell r="J12">
            <v>6.23</v>
          </cell>
          <cell r="M12">
            <v>25.9</v>
          </cell>
        </row>
        <row r="13">
          <cell r="J13">
            <v>5.39</v>
          </cell>
          <cell r="M13">
            <v>10.5</v>
          </cell>
        </row>
        <row r="14">
          <cell r="J14">
            <v>82.6</v>
          </cell>
          <cell r="M14">
            <v>0.49</v>
          </cell>
        </row>
        <row r="15">
          <cell r="M15">
            <v>4.9000000000000004</v>
          </cell>
        </row>
        <row r="16">
          <cell r="M16">
            <v>1.4000000000000002E-2</v>
          </cell>
        </row>
        <row r="17">
          <cell r="M17">
            <v>0</v>
          </cell>
        </row>
        <row r="18">
          <cell r="M18">
            <v>2.17</v>
          </cell>
        </row>
      </sheetData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2.85</v>
          </cell>
          <cell r="M11">
            <v>17.085000000000001</v>
          </cell>
        </row>
        <row r="12">
          <cell r="J12">
            <v>7.71</v>
          </cell>
          <cell r="M12">
            <v>78.142499999999998</v>
          </cell>
        </row>
        <row r="13">
          <cell r="J13">
            <v>15.855</v>
          </cell>
          <cell r="M13">
            <v>29.137499999999999</v>
          </cell>
        </row>
        <row r="14">
          <cell r="J14">
            <v>144.285</v>
          </cell>
          <cell r="M14">
            <v>1.155</v>
          </cell>
        </row>
        <row r="15">
          <cell r="M15">
            <v>20.715</v>
          </cell>
        </row>
        <row r="16">
          <cell r="M16">
            <v>1.6500000000000001E-2</v>
          </cell>
        </row>
        <row r="17">
          <cell r="M17">
            <v>0</v>
          </cell>
        </row>
        <row r="18">
          <cell r="M18">
            <v>3.2850000000000001</v>
          </cell>
        </row>
      </sheetData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1.26</v>
          </cell>
          <cell r="W11">
            <v>4.5759999999999996</v>
          </cell>
          <cell r="Z11">
            <v>7.3280000000000003</v>
          </cell>
        </row>
        <row r="12">
          <cell r="W12">
            <v>3.3919999999999999</v>
          </cell>
          <cell r="Z12">
            <v>33.728000000000002</v>
          </cell>
        </row>
        <row r="13">
          <cell r="W13">
            <v>0.38399999999999995</v>
          </cell>
          <cell r="Z13">
            <v>4.7839999999999998</v>
          </cell>
        </row>
        <row r="14">
          <cell r="W14">
            <v>50.4</v>
          </cell>
          <cell r="Z14">
            <v>0.35733333333333334</v>
          </cell>
        </row>
        <row r="15">
          <cell r="Z15">
            <v>0.48</v>
          </cell>
        </row>
        <row r="16">
          <cell r="Z16">
            <v>1.1200000000000002E-2</v>
          </cell>
        </row>
        <row r="17">
          <cell r="Z17">
            <v>19.488</v>
          </cell>
        </row>
        <row r="18">
          <cell r="Z18">
            <v>0.14400000000000002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16.998000000000001</v>
          </cell>
          <cell r="M11">
            <v>30.995999999999995</v>
          </cell>
        </row>
        <row r="12">
          <cell r="C12">
            <v>163.99799999999999</v>
          </cell>
          <cell r="D12">
            <v>87</v>
          </cell>
          <cell r="J12">
            <v>21</v>
          </cell>
          <cell r="M12">
            <v>153</v>
          </cell>
        </row>
        <row r="13">
          <cell r="J13">
            <v>13.997999999999998</v>
          </cell>
          <cell r="M13">
            <v>42.996000000000002</v>
          </cell>
        </row>
        <row r="14">
          <cell r="J14">
            <v>312.99599999999998</v>
          </cell>
          <cell r="M14">
            <v>2.298</v>
          </cell>
        </row>
        <row r="15">
          <cell r="M15">
            <v>8.6999999999999993</v>
          </cell>
        </row>
        <row r="16">
          <cell r="C16">
            <v>165</v>
          </cell>
          <cell r="D16">
            <v>82.001999999999981</v>
          </cell>
          <cell r="M16">
            <v>0.13800000000000001</v>
          </cell>
        </row>
        <row r="17">
          <cell r="C17">
            <v>25.001999999999999</v>
          </cell>
          <cell r="D17">
            <v>19.001999999999999</v>
          </cell>
          <cell r="M17">
            <v>60.996000000000002</v>
          </cell>
        </row>
        <row r="18">
          <cell r="C18">
            <v>15</v>
          </cell>
          <cell r="D18">
            <v>12</v>
          </cell>
          <cell r="M18">
            <v>3.3</v>
          </cell>
        </row>
        <row r="19">
          <cell r="C19">
            <v>6</v>
          </cell>
          <cell r="D19">
            <v>4.0019999999999998</v>
          </cell>
        </row>
        <row r="20">
          <cell r="C20">
            <v>6</v>
          </cell>
          <cell r="D20">
            <v>6</v>
          </cell>
        </row>
        <row r="21">
          <cell r="C21">
            <v>1.002</v>
          </cell>
          <cell r="D21">
            <v>1.002</v>
          </cell>
        </row>
        <row r="22">
          <cell r="C22">
            <v>0.69959999999999989</v>
          </cell>
          <cell r="D22">
            <v>0.69959999999999989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0.192</v>
          </cell>
        </row>
        <row r="16">
          <cell r="M16">
            <v>1.9199999999999998E-3</v>
          </cell>
        </row>
        <row r="23">
          <cell r="J23">
            <v>0.24</v>
          </cell>
          <cell r="M23">
            <v>7.92</v>
          </cell>
        </row>
        <row r="24">
          <cell r="J24">
            <v>1.5</v>
          </cell>
          <cell r="M24">
            <v>5.1849999999999996</v>
          </cell>
        </row>
        <row r="25">
          <cell r="J25">
            <v>0.32400000000000001</v>
          </cell>
          <cell r="M25">
            <v>0.81</v>
          </cell>
        </row>
        <row r="26">
          <cell r="J26">
            <v>15.75</v>
          </cell>
          <cell r="M26">
            <v>1.7999999999999999E-2</v>
          </cell>
        </row>
        <row r="27">
          <cell r="M27">
            <v>0.02</v>
          </cell>
        </row>
        <row r="29">
          <cell r="M29">
            <v>9.5</v>
          </cell>
        </row>
        <row r="30">
          <cell r="M30">
            <v>0.03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1.2</v>
          </cell>
          <cell r="M23">
            <v>11.2</v>
          </cell>
        </row>
        <row r="24">
          <cell r="J24">
            <v>5.04</v>
          </cell>
          <cell r="M24">
            <v>37.6</v>
          </cell>
        </row>
        <row r="25">
          <cell r="J25">
            <v>6.56</v>
          </cell>
          <cell r="M25">
            <v>14.4</v>
          </cell>
        </row>
        <row r="26">
          <cell r="J26">
            <v>76.8</v>
          </cell>
          <cell r="M26">
            <v>0.56000000000000005</v>
          </cell>
        </row>
        <row r="27">
          <cell r="M27">
            <v>8.56</v>
          </cell>
        </row>
        <row r="28">
          <cell r="M28">
            <v>5.6000000000000008E-2</v>
          </cell>
        </row>
        <row r="29">
          <cell r="M29">
            <v>0</v>
          </cell>
        </row>
        <row r="30">
          <cell r="M30">
            <v>2.2400000000000002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16</v>
          </cell>
          <cell r="M11">
            <v>0</v>
          </cell>
        </row>
        <row r="12">
          <cell r="C12">
            <v>96</v>
          </cell>
          <cell r="D12">
            <v>54.4</v>
          </cell>
          <cell r="J12">
            <v>19.2</v>
          </cell>
          <cell r="M12">
            <v>84</v>
          </cell>
        </row>
        <row r="13">
          <cell r="C13">
            <v>91.826086956521735</v>
          </cell>
          <cell r="D13">
            <v>91.2</v>
          </cell>
          <cell r="J13">
            <v>6.72</v>
          </cell>
          <cell r="M13">
            <v>14</v>
          </cell>
        </row>
        <row r="14">
          <cell r="C14">
            <v>14.4</v>
          </cell>
          <cell r="D14">
            <v>6.4</v>
          </cell>
          <cell r="J14">
            <v>262.39999999999998</v>
          </cell>
          <cell r="M14">
            <v>1.141</v>
          </cell>
        </row>
        <row r="15">
          <cell r="C15">
            <v>8</v>
          </cell>
          <cell r="D15">
            <v>8</v>
          </cell>
          <cell r="M15">
            <v>6.09</v>
          </cell>
        </row>
        <row r="16">
          <cell r="M16">
            <v>2.1000000000000001E-2</v>
          </cell>
        </row>
        <row r="17">
          <cell r="C17">
            <v>8</v>
          </cell>
          <cell r="D17">
            <v>8</v>
          </cell>
          <cell r="M17">
            <v>13.3</v>
          </cell>
        </row>
        <row r="18">
          <cell r="M18">
            <v>0.21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12.918749999999999</v>
          </cell>
          <cell r="M11">
            <v>118.6125</v>
          </cell>
        </row>
        <row r="12">
          <cell r="C12">
            <v>106.153125</v>
          </cell>
          <cell r="D12">
            <v>92.306249999999991</v>
          </cell>
          <cell r="J12">
            <v>20.765625</v>
          </cell>
          <cell r="M12">
            <v>224.54062500000001</v>
          </cell>
        </row>
        <row r="13">
          <cell r="C13">
            <v>57.693750000000001</v>
          </cell>
          <cell r="D13">
            <v>57.693750000000001</v>
          </cell>
          <cell r="J13">
            <v>3.234375</v>
          </cell>
          <cell r="M13">
            <v>18.693750000000001</v>
          </cell>
        </row>
        <row r="14">
          <cell r="C14">
            <v>2.34375</v>
          </cell>
          <cell r="D14">
            <v>2.34375</v>
          </cell>
          <cell r="J14">
            <v>251.53125</v>
          </cell>
          <cell r="M14">
            <v>2.4187500000000002</v>
          </cell>
        </row>
        <row r="15">
          <cell r="C15">
            <v>0.69374999999999998</v>
          </cell>
          <cell r="D15">
            <v>0.69374999999999998</v>
          </cell>
          <cell r="M15">
            <v>0.45937499999999998</v>
          </cell>
        </row>
        <row r="16">
          <cell r="M16">
            <v>6.5625000000000017E-2</v>
          </cell>
        </row>
        <row r="17">
          <cell r="C17">
            <v>4.6875</v>
          </cell>
          <cell r="D17">
            <v>4.6875</v>
          </cell>
          <cell r="M17">
            <v>260.54062500000003</v>
          </cell>
        </row>
        <row r="18">
          <cell r="M18">
            <v>0.69374999999999998</v>
          </cell>
        </row>
      </sheetData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J24">
            <v>0.2</v>
          </cell>
          <cell r="M24">
            <v>6.6</v>
          </cell>
        </row>
        <row r="25">
          <cell r="J25">
            <v>0</v>
          </cell>
          <cell r="M25">
            <v>7.8</v>
          </cell>
        </row>
        <row r="26">
          <cell r="J26">
            <v>27.6</v>
          </cell>
          <cell r="M26">
            <v>1.6</v>
          </cell>
        </row>
        <row r="27">
          <cell r="J27">
            <v>110</v>
          </cell>
          <cell r="M27">
            <v>0.32</v>
          </cell>
        </row>
        <row r="28">
          <cell r="M28">
            <v>0.04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</sheetData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I11">
            <v>17.010000000000002</v>
          </cell>
          <cell r="L11">
            <v>182.07</v>
          </cell>
        </row>
        <row r="12">
          <cell r="C12">
            <v>95.4</v>
          </cell>
          <cell r="D12">
            <v>36</v>
          </cell>
          <cell r="I12">
            <v>11.79</v>
          </cell>
          <cell r="L12">
            <v>174.23999999999998</v>
          </cell>
        </row>
        <row r="13">
          <cell r="I13">
            <v>6.48</v>
          </cell>
          <cell r="L13">
            <v>29.160000000000004</v>
          </cell>
        </row>
        <row r="14">
          <cell r="I14">
            <v>200.70000000000002</v>
          </cell>
          <cell r="L14">
            <v>1.425</v>
          </cell>
        </row>
        <row r="15">
          <cell r="C15">
            <v>39.6</v>
          </cell>
          <cell r="D15">
            <v>28.8</v>
          </cell>
          <cell r="L15">
            <v>1.44</v>
          </cell>
        </row>
        <row r="16">
          <cell r="L16">
            <v>0.126</v>
          </cell>
        </row>
        <row r="17">
          <cell r="L17">
            <v>79.739999999999995</v>
          </cell>
        </row>
        <row r="18">
          <cell r="C18">
            <v>18.45</v>
          </cell>
          <cell r="D18">
            <v>17.64</v>
          </cell>
          <cell r="L18">
            <v>2.9699999999999998</v>
          </cell>
        </row>
        <row r="20">
          <cell r="C20">
            <v>6.12</v>
          </cell>
          <cell r="D20">
            <v>5.3100000000000005</v>
          </cell>
        </row>
        <row r="21">
          <cell r="C21">
            <v>5.4</v>
          </cell>
          <cell r="D21">
            <v>5.4</v>
          </cell>
        </row>
        <row r="22">
          <cell r="C22">
            <v>5.4</v>
          </cell>
          <cell r="D22">
            <v>5.4</v>
          </cell>
        </row>
        <row r="23">
          <cell r="C23">
            <v>1.8</v>
          </cell>
          <cell r="D23">
            <v>1.8</v>
          </cell>
        </row>
        <row r="24">
          <cell r="C24">
            <v>1.35</v>
          </cell>
          <cell r="D24">
            <v>1.35</v>
          </cell>
        </row>
        <row r="25">
          <cell r="C25">
            <v>0.36</v>
          </cell>
          <cell r="D25">
            <v>0.36</v>
          </cell>
        </row>
      </sheetData>
      <sheetData sheetId="1"/>
      <sheetData sheetId="2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6.3</v>
          </cell>
          <cell r="M11">
            <v>9.75</v>
          </cell>
        </row>
        <row r="12">
          <cell r="C12">
            <v>72</v>
          </cell>
          <cell r="D12">
            <v>72</v>
          </cell>
          <cell r="J12">
            <v>5.7</v>
          </cell>
          <cell r="M12">
            <v>150.9</v>
          </cell>
        </row>
        <row r="13">
          <cell r="J13">
            <v>27.6</v>
          </cell>
          <cell r="M13">
            <v>40.5</v>
          </cell>
        </row>
        <row r="14">
          <cell r="C14">
            <v>37.5</v>
          </cell>
          <cell r="D14">
            <v>37.049999999999997</v>
          </cell>
          <cell r="J14">
            <v>187.5</v>
          </cell>
          <cell r="M14">
            <v>1.08</v>
          </cell>
        </row>
        <row r="15">
          <cell r="C15">
            <v>3.75</v>
          </cell>
          <cell r="D15">
            <v>3.75</v>
          </cell>
          <cell r="M15">
            <v>0.93</v>
          </cell>
        </row>
        <row r="16">
          <cell r="C16">
            <v>0.378</v>
          </cell>
          <cell r="D16">
            <v>0.378</v>
          </cell>
          <cell r="M16">
            <v>0.13500000000000001</v>
          </cell>
        </row>
        <row r="17">
          <cell r="M17">
            <v>28.65</v>
          </cell>
        </row>
        <row r="18">
          <cell r="M18">
            <v>0.1482</v>
          </cell>
        </row>
      </sheetData>
      <sheetData sheetId="1"/>
      <sheetData sheetId="2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">
          <cell r="J24">
            <v>0.2</v>
          </cell>
          <cell r="M24">
            <v>108.3</v>
          </cell>
        </row>
        <row r="25">
          <cell r="J25">
            <v>0.1</v>
          </cell>
          <cell r="M25">
            <v>76.5</v>
          </cell>
        </row>
        <row r="26">
          <cell r="J26">
            <v>9.3000000000000007</v>
          </cell>
          <cell r="M26">
            <v>12.6</v>
          </cell>
        </row>
        <row r="27">
          <cell r="C27">
            <v>1</v>
          </cell>
          <cell r="J27">
            <v>38</v>
          </cell>
          <cell r="M27">
            <v>0.12</v>
          </cell>
        </row>
        <row r="28">
          <cell r="M28">
            <v>0.7</v>
          </cell>
        </row>
        <row r="29">
          <cell r="C29">
            <v>10</v>
          </cell>
          <cell r="M29">
            <v>0.03</v>
          </cell>
        </row>
        <row r="30">
          <cell r="M30">
            <v>19</v>
          </cell>
        </row>
        <row r="31">
          <cell r="M31">
            <v>0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11.07</v>
          </cell>
          <cell r="M23">
            <v>204.75</v>
          </cell>
        </row>
        <row r="24">
          <cell r="J24">
            <v>9</v>
          </cell>
          <cell r="M24">
            <v>162.99</v>
          </cell>
        </row>
        <row r="25">
          <cell r="J25">
            <v>32.31</v>
          </cell>
          <cell r="M25">
            <v>20.16</v>
          </cell>
        </row>
        <row r="26">
          <cell r="J26">
            <v>254.7</v>
          </cell>
          <cell r="M26">
            <v>1.3032000000000001</v>
          </cell>
        </row>
        <row r="27">
          <cell r="M27">
            <v>0.18</v>
          </cell>
        </row>
        <row r="28">
          <cell r="M28">
            <v>6.2999999999999987E-2</v>
          </cell>
        </row>
        <row r="29">
          <cell r="M29">
            <v>66.510000000000005</v>
          </cell>
        </row>
        <row r="30">
          <cell r="M30">
            <v>0.99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2">
          <cell r="C12">
            <v>135.99750000000003</v>
          </cell>
          <cell r="D12">
            <v>135</v>
          </cell>
        </row>
        <row r="14">
          <cell r="C14">
            <v>15</v>
          </cell>
        </row>
        <row r="15">
          <cell r="C15">
            <v>11.0025</v>
          </cell>
          <cell r="D15">
            <v>11.0025</v>
          </cell>
        </row>
        <row r="16">
          <cell r="C16">
            <v>9.9975000000000005</v>
          </cell>
          <cell r="D16">
            <v>9.9975000000000005</v>
          </cell>
        </row>
        <row r="17">
          <cell r="C17">
            <v>6</v>
          </cell>
          <cell r="D17">
            <v>5.1749999999999998</v>
          </cell>
        </row>
        <row r="18">
          <cell r="C18">
            <v>5.0025000000000004</v>
          </cell>
          <cell r="D18">
            <v>5.0025000000000004</v>
          </cell>
        </row>
        <row r="19">
          <cell r="C19">
            <v>2.0024999999999999</v>
          </cell>
        </row>
        <row r="20">
          <cell r="C20">
            <v>1.5</v>
          </cell>
        </row>
        <row r="21">
          <cell r="C21">
            <v>1.95E-2</v>
          </cell>
          <cell r="D21">
            <v>1.95E-2</v>
          </cell>
        </row>
      </sheetData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">
          <cell r="C27">
            <v>87.5</v>
          </cell>
          <cell r="D27">
            <v>70</v>
          </cell>
        </row>
        <row r="28">
          <cell r="C28">
            <v>12.5</v>
          </cell>
          <cell r="D28">
            <v>9.75</v>
          </cell>
        </row>
        <row r="29">
          <cell r="C29">
            <v>12</v>
          </cell>
          <cell r="D29">
            <v>10.074999999999999</v>
          </cell>
        </row>
        <row r="30">
          <cell r="C30">
            <v>5</v>
          </cell>
          <cell r="D30">
            <v>5</v>
          </cell>
        </row>
        <row r="32">
          <cell r="C32">
            <v>2.5</v>
          </cell>
          <cell r="D32">
            <v>2.5</v>
          </cell>
        </row>
        <row r="33">
          <cell r="C33">
            <v>1.5</v>
          </cell>
        </row>
        <row r="34">
          <cell r="C34">
            <v>1.5</v>
          </cell>
          <cell r="D34">
            <v>1.5</v>
          </cell>
        </row>
      </sheetData>
      <sheetData sheetId="1"/>
      <sheetData sheetId="2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C24">
            <v>147.19999999999999</v>
          </cell>
        </row>
        <row r="25">
          <cell r="C25">
            <v>41.6</v>
          </cell>
          <cell r="D25">
            <v>41.6</v>
          </cell>
        </row>
        <row r="27">
          <cell r="C27">
            <v>9.6</v>
          </cell>
          <cell r="D27">
            <v>9.6</v>
          </cell>
        </row>
      </sheetData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">
          <cell r="C13">
            <v>28.2</v>
          </cell>
          <cell r="D13">
            <v>28.04</v>
          </cell>
        </row>
        <row r="14">
          <cell r="C14">
            <v>10</v>
          </cell>
          <cell r="D14">
            <v>7.8</v>
          </cell>
        </row>
        <row r="15">
          <cell r="C15">
            <v>9.6</v>
          </cell>
          <cell r="D15">
            <v>8</v>
          </cell>
        </row>
        <row r="16">
          <cell r="C16">
            <v>4</v>
          </cell>
          <cell r="D16">
            <v>4</v>
          </cell>
        </row>
        <row r="17">
          <cell r="C17">
            <v>2.6</v>
          </cell>
          <cell r="D17">
            <v>1.94</v>
          </cell>
        </row>
        <row r="18">
          <cell r="C18">
            <v>1.2</v>
          </cell>
          <cell r="D18">
            <v>1.2</v>
          </cell>
        </row>
      </sheetData>
      <sheetData sheetId="1"/>
      <sheetData sheetId="2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">
          <cell r="C24">
            <v>55.8</v>
          </cell>
        </row>
        <row r="25">
          <cell r="C25">
            <v>19.8</v>
          </cell>
        </row>
        <row r="26">
          <cell r="C26">
            <v>4.5</v>
          </cell>
        </row>
        <row r="27">
          <cell r="C27">
            <v>2.88</v>
          </cell>
          <cell r="D27">
            <v>2.88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5">
          <cell r="J25">
            <v>0.3</v>
          </cell>
          <cell r="M25">
            <v>16.399999999999999</v>
          </cell>
        </row>
        <row r="26">
          <cell r="J26">
            <v>0.01</v>
          </cell>
          <cell r="M26">
            <v>10.7</v>
          </cell>
        </row>
        <row r="27">
          <cell r="D27">
            <v>20</v>
          </cell>
          <cell r="J27">
            <v>17.5</v>
          </cell>
          <cell r="M27">
            <v>4.3</v>
          </cell>
        </row>
        <row r="28">
          <cell r="C28">
            <v>20</v>
          </cell>
          <cell r="J28">
            <v>72</v>
          </cell>
          <cell r="M28">
            <v>0.9</v>
          </cell>
        </row>
        <row r="29">
          <cell r="M29">
            <v>0.1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0.1</v>
          </cell>
        </row>
        <row r="33">
          <cell r="C33">
            <v>10</v>
          </cell>
          <cell r="D33">
            <v>10</v>
          </cell>
        </row>
      </sheetData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3">
          <cell r="C13">
            <v>106.6</v>
          </cell>
          <cell r="D13">
            <v>79.94</v>
          </cell>
        </row>
        <row r="14">
          <cell r="C14">
            <v>10</v>
          </cell>
          <cell r="D14">
            <v>7.8</v>
          </cell>
        </row>
        <row r="15">
          <cell r="C15">
            <v>9.6</v>
          </cell>
          <cell r="D15">
            <v>8</v>
          </cell>
        </row>
        <row r="16">
          <cell r="C16">
            <v>2</v>
          </cell>
          <cell r="D16">
            <v>2</v>
          </cell>
        </row>
        <row r="17">
          <cell r="C17">
            <v>2</v>
          </cell>
          <cell r="D17">
            <v>2</v>
          </cell>
        </row>
        <row r="18">
          <cell r="C18">
            <v>1.2</v>
          </cell>
          <cell r="D18">
            <v>1.2</v>
          </cell>
        </row>
      </sheetData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7">
          <cell r="C27">
            <v>205.04347826086956</v>
          </cell>
          <cell r="D27">
            <v>153.39130434782609</v>
          </cell>
        </row>
        <row r="28">
          <cell r="C28">
            <v>103.30434782608695</v>
          </cell>
          <cell r="D28">
            <v>75.913043478260875</v>
          </cell>
        </row>
        <row r="30">
          <cell r="C30">
            <v>18.782608695652176</v>
          </cell>
          <cell r="D30">
            <v>15.652173913043478</v>
          </cell>
        </row>
        <row r="31">
          <cell r="C31">
            <v>9.3913043478260878</v>
          </cell>
          <cell r="D31">
            <v>6.2608695652173916</v>
          </cell>
        </row>
        <row r="32">
          <cell r="C32">
            <v>4.6956521739130439</v>
          </cell>
          <cell r="D32">
            <v>4.6956521739130439</v>
          </cell>
        </row>
        <row r="33">
          <cell r="C33">
            <v>0.70434782608695656</v>
          </cell>
          <cell r="D33">
            <v>0.70434782608695656</v>
          </cell>
        </row>
      </sheetData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6">
          <cell r="C26">
            <v>133.25</v>
          </cell>
          <cell r="D26">
            <v>99.924999999999997</v>
          </cell>
        </row>
        <row r="27">
          <cell r="C27">
            <v>12.5</v>
          </cell>
          <cell r="D27">
            <v>9.75</v>
          </cell>
        </row>
        <row r="28">
          <cell r="C28">
            <v>12</v>
          </cell>
          <cell r="D28">
            <v>10</v>
          </cell>
        </row>
        <row r="30">
          <cell r="C30">
            <v>2.5</v>
          </cell>
          <cell r="D30">
            <v>2.5</v>
          </cell>
        </row>
        <row r="31">
          <cell r="C31">
            <v>1.5</v>
          </cell>
        </row>
      </sheetData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2">
          <cell r="C12">
            <v>197.13749999999999</v>
          </cell>
          <cell r="D12">
            <v>147.85499999999999</v>
          </cell>
        </row>
        <row r="14">
          <cell r="C14">
            <v>7.125</v>
          </cell>
          <cell r="D14">
            <v>7.125</v>
          </cell>
        </row>
        <row r="15">
          <cell r="C15">
            <v>1.125</v>
          </cell>
          <cell r="D15">
            <v>1.125</v>
          </cell>
        </row>
      </sheetData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3">
          <cell r="C13">
            <v>40</v>
          </cell>
          <cell r="D13">
            <v>32</v>
          </cell>
        </row>
        <row r="14">
          <cell r="C14">
            <v>21.4</v>
          </cell>
          <cell r="D14">
            <v>16.04</v>
          </cell>
        </row>
        <row r="15">
          <cell r="C15">
            <v>20</v>
          </cell>
          <cell r="D15">
            <v>16</v>
          </cell>
        </row>
        <row r="17">
          <cell r="C17">
            <v>12.599999999999998</v>
          </cell>
          <cell r="D17">
            <v>9.82</v>
          </cell>
        </row>
        <row r="18">
          <cell r="C18">
            <v>9.6</v>
          </cell>
          <cell r="D18">
            <v>8.06</v>
          </cell>
        </row>
        <row r="19">
          <cell r="C19">
            <v>6</v>
          </cell>
          <cell r="D19">
            <v>6</v>
          </cell>
        </row>
        <row r="20">
          <cell r="C20">
            <v>4</v>
          </cell>
          <cell r="D20">
            <v>4</v>
          </cell>
        </row>
        <row r="22">
          <cell r="C22">
            <v>2</v>
          </cell>
          <cell r="D22">
            <v>2</v>
          </cell>
        </row>
        <row r="23">
          <cell r="C23">
            <v>1.2</v>
          </cell>
          <cell r="D23">
            <v>1.2</v>
          </cell>
        </row>
      </sheetData>
      <sheetData sheetId="1" refreshError="1"/>
      <sheetData sheetId="2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C24">
            <v>65.599999999999994</v>
          </cell>
          <cell r="D24">
            <v>49.2</v>
          </cell>
        </row>
        <row r="26">
          <cell r="C26">
            <v>19.2</v>
          </cell>
          <cell r="D26">
            <v>13.44</v>
          </cell>
        </row>
        <row r="27">
          <cell r="C27">
            <v>9.6</v>
          </cell>
          <cell r="D27">
            <v>7.44</v>
          </cell>
        </row>
        <row r="28">
          <cell r="C28">
            <v>9.6</v>
          </cell>
          <cell r="D28">
            <v>8</v>
          </cell>
        </row>
        <row r="29">
          <cell r="C29">
            <v>4.8</v>
          </cell>
          <cell r="D29">
            <v>4.8</v>
          </cell>
        </row>
      </sheetData>
      <sheetData sheetId="1" refreshError="1"/>
      <sheetData sheetId="2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5">
          <cell r="C25">
            <v>43</v>
          </cell>
          <cell r="D25">
            <v>32.24</v>
          </cell>
        </row>
        <row r="26">
          <cell r="C26">
            <v>2</v>
          </cell>
          <cell r="D26">
            <v>1.56</v>
          </cell>
        </row>
        <row r="27">
          <cell r="C27">
            <v>2</v>
          </cell>
          <cell r="D27">
            <v>1.68</v>
          </cell>
        </row>
        <row r="28">
          <cell r="C28">
            <v>1.4</v>
          </cell>
          <cell r="D28">
            <v>1.04</v>
          </cell>
        </row>
        <row r="29">
          <cell r="C29">
            <v>0.4</v>
          </cell>
          <cell r="D29">
            <v>0.4</v>
          </cell>
        </row>
      </sheetData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6">
          <cell r="J36">
            <v>5.3</v>
          </cell>
        </row>
        <row r="37">
          <cell r="C37">
            <v>54</v>
          </cell>
          <cell r="D37">
            <v>31.3</v>
          </cell>
        </row>
        <row r="39">
          <cell r="C39">
            <v>3.5</v>
          </cell>
          <cell r="D39">
            <v>2.625</v>
          </cell>
        </row>
        <row r="40">
          <cell r="C40">
            <v>3.25</v>
          </cell>
          <cell r="D40">
            <v>2.5249999999999999</v>
          </cell>
        </row>
        <row r="41">
          <cell r="C41">
            <v>3</v>
          </cell>
          <cell r="D41">
            <v>2.5</v>
          </cell>
        </row>
      </sheetData>
      <sheetData sheetId="1" refreshError="1"/>
      <sheetData sheetId="2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6">
          <cell r="C36">
            <v>45.08</v>
          </cell>
          <cell r="D36">
            <v>32.9</v>
          </cell>
        </row>
        <row r="38">
          <cell r="C38">
            <v>8.33</v>
          </cell>
          <cell r="D38">
            <v>7</v>
          </cell>
        </row>
        <row r="39">
          <cell r="C39">
            <v>2.0299999999999998</v>
          </cell>
          <cell r="D39">
            <v>1.75</v>
          </cell>
        </row>
        <row r="40">
          <cell r="C40">
            <v>0.17499999999999999</v>
          </cell>
        </row>
      </sheetData>
      <sheetData sheetId="1" refreshError="1"/>
      <sheetData sheetId="2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1.1399999999999999</v>
          </cell>
        </row>
        <row r="12">
          <cell r="C12">
            <v>72</v>
          </cell>
          <cell r="D12">
            <v>57.6</v>
          </cell>
        </row>
        <row r="14">
          <cell r="D14">
            <v>3.6</v>
          </cell>
        </row>
        <row r="15">
          <cell r="C15">
            <v>0.15</v>
          </cell>
          <cell r="D15">
            <v>0.15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1.1399999999999999</v>
          </cell>
          <cell r="M11">
            <v>24.6</v>
          </cell>
        </row>
        <row r="12">
          <cell r="J12">
            <v>5.34</v>
          </cell>
          <cell r="M12">
            <v>22.2</v>
          </cell>
        </row>
        <row r="13">
          <cell r="J13">
            <v>4.62</v>
          </cell>
          <cell r="M13">
            <v>9</v>
          </cell>
        </row>
        <row r="14">
          <cell r="J14">
            <v>70.8</v>
          </cell>
          <cell r="M14">
            <v>0.42</v>
          </cell>
        </row>
        <row r="15">
          <cell r="M15">
            <v>4.2</v>
          </cell>
        </row>
        <row r="16">
          <cell r="M16">
            <v>1.2E-2</v>
          </cell>
        </row>
        <row r="17">
          <cell r="M17">
            <v>0</v>
          </cell>
        </row>
        <row r="18">
          <cell r="M18">
            <v>1.86</v>
          </cell>
        </row>
      </sheetData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C16">
            <v>114</v>
          </cell>
          <cell r="D16">
            <v>100</v>
          </cell>
        </row>
      </sheetData>
      <sheetData sheetId="1"/>
      <sheetData sheetId="2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1">
          <cell r="J11">
            <v>0.54</v>
          </cell>
        </row>
        <row r="13">
          <cell r="C13">
            <v>18</v>
          </cell>
          <cell r="D13">
            <v>18</v>
          </cell>
        </row>
        <row r="14">
          <cell r="C14">
            <v>9</v>
          </cell>
          <cell r="D14">
            <v>9</v>
          </cell>
        </row>
        <row r="25">
          <cell r="C25">
            <v>20</v>
          </cell>
          <cell r="D25">
            <v>20</v>
          </cell>
        </row>
        <row r="27">
          <cell r="C27">
            <v>10</v>
          </cell>
          <cell r="D27">
            <v>10</v>
          </cell>
        </row>
      </sheetData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117.15</v>
          </cell>
          <cell r="D14">
            <v>110</v>
          </cell>
        </row>
      </sheetData>
      <sheetData sheetId="1"/>
      <sheetData sheetId="2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">
          <cell r="C24">
            <v>10</v>
          </cell>
        </row>
      </sheetData>
      <sheetData sheetId="1"/>
      <sheetData sheetId="2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6">
          <cell r="C26">
            <v>24</v>
          </cell>
          <cell r="D26">
            <v>24</v>
          </cell>
        </row>
        <row r="28">
          <cell r="C28">
            <v>8</v>
          </cell>
          <cell r="D28">
            <v>8</v>
          </cell>
        </row>
        <row r="29">
          <cell r="C29">
            <v>8</v>
          </cell>
          <cell r="D29">
            <v>8</v>
          </cell>
        </row>
      </sheetData>
      <sheetData sheetId="1" refreshError="1"/>
      <sheetData sheetId="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2">
          <cell r="C12">
            <v>73.5</v>
          </cell>
        </row>
        <row r="16">
          <cell r="C16">
            <v>0.186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5.98</v>
          </cell>
          <cell r="M11">
            <v>37.4</v>
          </cell>
        </row>
        <row r="12">
          <cell r="J12">
            <v>2.94</v>
          </cell>
          <cell r="M12">
            <v>75.84</v>
          </cell>
        </row>
        <row r="13">
          <cell r="J13">
            <v>12.96</v>
          </cell>
          <cell r="M13">
            <v>29.4</v>
          </cell>
        </row>
        <row r="14">
          <cell r="J14">
            <v>102.20000000000002</v>
          </cell>
          <cell r="M14">
            <v>2.1466666666666665</v>
          </cell>
        </row>
        <row r="15">
          <cell r="M15">
            <v>0.4</v>
          </cell>
        </row>
        <row r="16">
          <cell r="M16">
            <v>0.20666666666666667</v>
          </cell>
        </row>
        <row r="17">
          <cell r="M17">
            <v>16</v>
          </cell>
        </row>
        <row r="18">
          <cell r="M18">
            <v>0.24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1.44</v>
          </cell>
          <cell r="M11">
            <v>32.700000000000003</v>
          </cell>
          <cell r="W11">
            <v>4.3679999999999994</v>
          </cell>
          <cell r="Z11">
            <v>3.8880000000000003</v>
          </cell>
        </row>
        <row r="12">
          <cell r="J12">
            <v>3.54</v>
          </cell>
          <cell r="M12">
            <v>42.3</v>
          </cell>
          <cell r="W12">
            <v>3.1040000000000001</v>
          </cell>
          <cell r="Z12">
            <v>35.567999999999998</v>
          </cell>
        </row>
        <row r="13">
          <cell r="J13">
            <v>5.72</v>
          </cell>
          <cell r="M13">
            <v>20.54</v>
          </cell>
          <cell r="W13">
            <v>0.25600000000000001</v>
          </cell>
          <cell r="Z13">
            <v>4.88</v>
          </cell>
        </row>
        <row r="14">
          <cell r="J14">
            <v>60.5</v>
          </cell>
          <cell r="M14">
            <v>0.97199999999999986</v>
          </cell>
          <cell r="W14">
            <v>46.4</v>
          </cell>
          <cell r="Z14">
            <v>0.57600000000000007</v>
          </cell>
        </row>
        <row r="15">
          <cell r="M15">
            <v>5.98</v>
          </cell>
          <cell r="Z15">
            <v>0.14400000000000002</v>
          </cell>
        </row>
        <row r="16">
          <cell r="M16">
            <v>0.04</v>
          </cell>
          <cell r="Z16">
            <v>8.0000000000000002E-3</v>
          </cell>
        </row>
        <row r="17">
          <cell r="M17">
            <v>0</v>
          </cell>
          <cell r="Z17">
            <v>0</v>
          </cell>
        </row>
        <row r="18">
          <cell r="M18">
            <v>1.92</v>
          </cell>
          <cell r="Z18">
            <v>0.112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6">
          <cell r="J26">
            <v>15.652173913043478</v>
          </cell>
          <cell r="M26">
            <v>28.956521739130434</v>
          </cell>
        </row>
        <row r="27">
          <cell r="J27">
            <v>12.521739130434783</v>
          </cell>
          <cell r="M27">
            <v>190.17391304347825</v>
          </cell>
        </row>
        <row r="28">
          <cell r="J28">
            <v>18.782608695652176</v>
          </cell>
          <cell r="M28">
            <v>47.739130434782609</v>
          </cell>
        </row>
        <row r="29">
          <cell r="J29">
            <v>250.43478260869566</v>
          </cell>
          <cell r="M29">
            <v>3.0678260869565217</v>
          </cell>
        </row>
        <row r="30">
          <cell r="M30">
            <v>10.173913043478262</v>
          </cell>
        </row>
        <row r="31">
          <cell r="M31">
            <v>0.18</v>
          </cell>
        </row>
        <row r="32">
          <cell r="M32">
            <v>15.652173913043478</v>
          </cell>
        </row>
        <row r="33">
          <cell r="M33">
            <v>0.54782608695652169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J24">
            <v>1</v>
          </cell>
          <cell r="M24">
            <v>14</v>
          </cell>
        </row>
        <row r="25">
          <cell r="J25">
            <v>0.2</v>
          </cell>
          <cell r="M25">
            <v>14</v>
          </cell>
        </row>
        <row r="26">
          <cell r="J26">
            <v>20.2</v>
          </cell>
          <cell r="M26">
            <v>8</v>
          </cell>
        </row>
        <row r="27">
          <cell r="J27">
            <v>86</v>
          </cell>
          <cell r="M27">
            <v>2.8</v>
          </cell>
        </row>
        <row r="28">
          <cell r="M28">
            <v>4</v>
          </cell>
        </row>
        <row r="29">
          <cell r="M29">
            <v>0.02</v>
          </cell>
        </row>
        <row r="30">
          <cell r="M30">
            <v>0</v>
          </cell>
        </row>
        <row r="31">
          <cell r="M31">
            <v>0.2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8"/>
  <sheetViews>
    <sheetView workbookViewId="0">
      <selection sqref="A1:Q17"/>
    </sheetView>
  </sheetViews>
  <sheetFormatPr defaultRowHeight="12.75"/>
  <cols>
    <col min="1" max="1" width="6.28515625" style="4" customWidth="1"/>
    <col min="2" max="2" width="4" style="4" bestFit="1" customWidth="1"/>
    <col min="3" max="3" width="36.42578125" style="4" customWidth="1"/>
    <col min="4" max="4" width="4" style="4" bestFit="1" customWidth="1"/>
    <col min="5" max="6" width="5.42578125" style="4" bestFit="1" customWidth="1"/>
    <col min="7" max="8" width="6.42578125" style="4" bestFit="1" customWidth="1"/>
    <col min="9" max="9" width="4.42578125" style="4" bestFit="1" customWidth="1"/>
    <col min="10" max="10" width="5.42578125" style="4" bestFit="1" customWidth="1"/>
    <col min="11" max="11" width="6.42578125" style="4" bestFit="1" customWidth="1"/>
    <col min="12" max="12" width="4.42578125" style="4" bestFit="1" customWidth="1"/>
    <col min="13" max="14" width="6.42578125" style="4" bestFit="1" customWidth="1"/>
    <col min="15" max="16" width="5.42578125" style="4" bestFit="1" customWidth="1"/>
    <col min="17" max="17" width="38.85546875" style="4" bestFit="1" customWidth="1"/>
    <col min="18" max="30" width="9.140625" style="4"/>
  </cols>
  <sheetData>
    <row r="1" spans="1:30" s="5" customFormat="1">
      <c r="A1" s="216" t="s">
        <v>126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4" customFormat="1">
      <c r="A2" s="4" t="s">
        <v>75</v>
      </c>
    </row>
    <row r="3" spans="1:30" s="4" customFormat="1" ht="13.5" thickBot="1"/>
    <row r="4" spans="1:30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ht="12.75" customHeight="1">
      <c r="A6" s="61" t="s">
        <v>80</v>
      </c>
      <c r="B6" s="137">
        <v>124</v>
      </c>
      <c r="C6" s="230" t="s">
        <v>189</v>
      </c>
      <c r="D6" s="228">
        <v>200</v>
      </c>
      <c r="E6" s="193">
        <f>[1]Лист1!$J$11</f>
        <v>7.42</v>
      </c>
      <c r="F6" s="193">
        <f>[1]Лист1!$J$12</f>
        <v>6.52</v>
      </c>
      <c r="G6" s="193">
        <f>[1]Лист1!$J$13</f>
        <v>11.86</v>
      </c>
      <c r="H6" s="194">
        <f>[1]Лист1!$J$14</f>
        <v>135.80000000000001</v>
      </c>
      <c r="I6" s="195">
        <f>[1]Лист1!$M$16</f>
        <v>0.11333333333333333</v>
      </c>
      <c r="J6" s="195">
        <f>[1]Лист1!$M$15</f>
        <v>8.36</v>
      </c>
      <c r="K6" s="195">
        <f>[1]Лист1!$M$17</f>
        <v>5.68</v>
      </c>
      <c r="L6" s="195">
        <f>[1]Лист1!$M$18</f>
        <v>1.1599999999999999</v>
      </c>
      <c r="M6" s="195">
        <f>[1]Лист1!$M$11</f>
        <v>22.92</v>
      </c>
      <c r="N6" s="195">
        <f>[1]Лист1!$M$12</f>
        <v>117.02</v>
      </c>
      <c r="O6" s="195">
        <f>[1]Лист1!$M$13</f>
        <v>30.46</v>
      </c>
      <c r="P6" s="195">
        <f>[1]Лист1!$M$14</f>
        <v>1.8133333333333332</v>
      </c>
      <c r="Q6" s="204" t="s">
        <v>153</v>
      </c>
    </row>
    <row r="7" spans="1:30" ht="22.5">
      <c r="A7" s="24"/>
      <c r="B7" s="52">
        <v>145</v>
      </c>
      <c r="C7" s="231"/>
      <c r="D7" s="229"/>
      <c r="E7" s="70">
        <f>[2]Лист1!$J$11</f>
        <v>5.706666666666667</v>
      </c>
      <c r="F7" s="70">
        <f>[2]Лист1!$J$12</f>
        <v>4.5326666666666666</v>
      </c>
      <c r="G7" s="70">
        <f>[2]Лист1!$J$13</f>
        <v>0.22666666666666671</v>
      </c>
      <c r="H7" s="71">
        <f>[2]Лист1!$J$14</f>
        <v>64.540000000000006</v>
      </c>
      <c r="I7" s="72">
        <f>[2]Лист1!$M$16</f>
        <v>1.9866666666666668E-2</v>
      </c>
      <c r="J7" s="72">
        <f>[2]Лист1!$M$15</f>
        <v>0.11200000000000002</v>
      </c>
      <c r="K7" s="72">
        <f>[2]Лист1!$M$17</f>
        <v>5.6333333333333329</v>
      </c>
      <c r="L7" s="72">
        <f>[2]Лист1!$M$18</f>
        <v>0.14666666666666667</v>
      </c>
      <c r="M7" s="72">
        <f>[2]Лист1!$M$11</f>
        <v>4.76</v>
      </c>
      <c r="N7" s="72">
        <f>[2]Лист1!$M$12</f>
        <v>59.745999999999995</v>
      </c>
      <c r="O7" s="72">
        <f>[2]Лист1!$M$13</f>
        <v>6.8933333333333326</v>
      </c>
      <c r="P7" s="72">
        <f>[2]Лист1!$M$14</f>
        <v>0.90000000000000013</v>
      </c>
      <c r="Q7" s="207" t="s">
        <v>190</v>
      </c>
    </row>
    <row r="8" spans="1:30" ht="33.75">
      <c r="A8" s="24"/>
      <c r="B8" s="41">
        <v>268</v>
      </c>
      <c r="C8" s="53" t="s">
        <v>191</v>
      </c>
      <c r="D8" s="47">
        <v>150</v>
      </c>
      <c r="E8" s="48">
        <f>[3]Лист1!$J$11</f>
        <v>12.918749999999999</v>
      </c>
      <c r="F8" s="48">
        <f>[3]Лист1!$J$12</f>
        <v>20.765625</v>
      </c>
      <c r="G8" s="48">
        <f>[3]Лист1!$J$13</f>
        <v>3.234375</v>
      </c>
      <c r="H8" s="48">
        <f>[3]Лист1!$J$14</f>
        <v>251.53125</v>
      </c>
      <c r="I8" s="50">
        <f>[3]Лист1!$M$16</f>
        <v>6.5625000000000017E-2</v>
      </c>
      <c r="J8" s="50">
        <f>[3]Лист1!$M$15</f>
        <v>0.45937499999999998</v>
      </c>
      <c r="K8" s="50">
        <f>[3]Лист1!$M$17</f>
        <v>260.54062500000003</v>
      </c>
      <c r="L8" s="50">
        <f>[3]Лист1!$M$18</f>
        <v>0.69374999999999998</v>
      </c>
      <c r="M8" s="50">
        <f>[3]Лист1!$M$11</f>
        <v>118.6125</v>
      </c>
      <c r="N8" s="50">
        <f>[3]Лист1!$M$12</f>
        <v>224.54062500000001</v>
      </c>
      <c r="O8" s="50">
        <f>[3]Лист1!$M$13</f>
        <v>18.693750000000001</v>
      </c>
      <c r="P8" s="50">
        <f>[3]Лист1!$M$14</f>
        <v>2.4187500000000002</v>
      </c>
      <c r="Q8" s="207" t="s">
        <v>192</v>
      </c>
    </row>
    <row r="9" spans="1:30">
      <c r="A9" s="24"/>
      <c r="B9" s="41">
        <v>115</v>
      </c>
      <c r="C9" s="25" t="s">
        <v>12</v>
      </c>
      <c r="D9" s="26">
        <v>25</v>
      </c>
      <c r="E9" s="27">
        <v>1.65</v>
      </c>
      <c r="F9" s="27">
        <v>0.3</v>
      </c>
      <c r="G9" s="27">
        <v>8.35</v>
      </c>
      <c r="H9" s="27">
        <v>43.5</v>
      </c>
      <c r="I9" s="22">
        <v>0.05</v>
      </c>
      <c r="J9" s="22">
        <v>0</v>
      </c>
      <c r="K9" s="22">
        <v>0</v>
      </c>
      <c r="L9" s="22">
        <v>8.0000000000000002E-3</v>
      </c>
      <c r="M9" s="22">
        <v>8.75</v>
      </c>
      <c r="N9" s="22">
        <v>12.5</v>
      </c>
      <c r="O9" s="22">
        <v>11.75</v>
      </c>
      <c r="P9" s="22">
        <v>0.97499999999999998</v>
      </c>
      <c r="Q9" s="205"/>
    </row>
    <row r="10" spans="1:30">
      <c r="A10" s="24"/>
      <c r="B10" s="41">
        <v>114</v>
      </c>
      <c r="C10" s="25" t="s">
        <v>13</v>
      </c>
      <c r="D10" s="26">
        <v>45</v>
      </c>
      <c r="E10" s="27">
        <v>3.5550000000000002</v>
      </c>
      <c r="F10" s="27">
        <v>0.45</v>
      </c>
      <c r="G10" s="27">
        <v>21.734999999999999</v>
      </c>
      <c r="H10" s="27">
        <v>105.75</v>
      </c>
      <c r="I10" s="22">
        <v>0.09</v>
      </c>
      <c r="J10" s="22">
        <v>0</v>
      </c>
      <c r="K10" s="22">
        <v>0</v>
      </c>
      <c r="L10" s="22">
        <v>0.27</v>
      </c>
      <c r="M10" s="22">
        <v>10.35</v>
      </c>
      <c r="N10" s="22">
        <v>27</v>
      </c>
      <c r="O10" s="22">
        <v>14.85</v>
      </c>
      <c r="P10" s="22">
        <v>0.85499999999999998</v>
      </c>
      <c r="Q10" s="205"/>
    </row>
    <row r="11" spans="1:30" ht="22.5">
      <c r="A11" s="24"/>
      <c r="B11" s="43">
        <v>494</v>
      </c>
      <c r="C11" s="33" t="s">
        <v>195</v>
      </c>
      <c r="D11" s="34">
        <v>200</v>
      </c>
      <c r="E11" s="35">
        <f>[4]Лист1!$J$25</f>
        <v>0.3</v>
      </c>
      <c r="F11" s="35">
        <f>[4]Лист1!$J$26</f>
        <v>0.01</v>
      </c>
      <c r="G11" s="35">
        <f>[4]Лист1!$J$27</f>
        <v>17.5</v>
      </c>
      <c r="H11" s="35">
        <f>[4]Лист1!$J$28</f>
        <v>72</v>
      </c>
      <c r="I11" s="23">
        <f>[4]Лист1!$M$30</f>
        <v>0</v>
      </c>
      <c r="J11" s="23">
        <f>[4]Лист1!$M$29</f>
        <v>0.1</v>
      </c>
      <c r="K11" s="23">
        <f>[4]Лист1!$M$31</f>
        <v>0</v>
      </c>
      <c r="L11" s="23">
        <f>[4]Лист1!$M$32</f>
        <v>0.1</v>
      </c>
      <c r="M11" s="23">
        <f>[4]Лист1!$M$25</f>
        <v>16.399999999999999</v>
      </c>
      <c r="N11" s="23">
        <f>[4]Лист1!$M$26</f>
        <v>10.7</v>
      </c>
      <c r="O11" s="23">
        <f>[4]Лист1!$M$27</f>
        <v>4.3</v>
      </c>
      <c r="P11" s="23">
        <f>[4]Лист1!$M$28</f>
        <v>0.9</v>
      </c>
      <c r="Q11" s="214" t="s">
        <v>90</v>
      </c>
    </row>
    <row r="12" spans="1:30" ht="22.5">
      <c r="A12" s="24"/>
      <c r="B12" s="41">
        <v>82</v>
      </c>
      <c r="C12" s="25" t="s">
        <v>34</v>
      </c>
      <c r="D12" s="26">
        <v>100</v>
      </c>
      <c r="E12" s="27">
        <v>0.4</v>
      </c>
      <c r="F12" s="27">
        <v>0.4</v>
      </c>
      <c r="G12" s="27">
        <v>9.8000000000000007</v>
      </c>
      <c r="H12" s="28">
        <v>44</v>
      </c>
      <c r="I12" s="22">
        <v>0.03</v>
      </c>
      <c r="J12" s="22">
        <v>7</v>
      </c>
      <c r="K12" s="22">
        <v>0</v>
      </c>
      <c r="L12" s="22">
        <v>0.2</v>
      </c>
      <c r="M12" s="22">
        <v>16.100000000000001</v>
      </c>
      <c r="N12" s="22">
        <v>11</v>
      </c>
      <c r="O12" s="22">
        <v>9</v>
      </c>
      <c r="P12" s="22">
        <v>2.21</v>
      </c>
      <c r="Q12" s="215" t="s">
        <v>86</v>
      </c>
    </row>
    <row r="13" spans="1:30">
      <c r="A13" s="24"/>
      <c r="B13" s="44"/>
      <c r="C13" s="36"/>
      <c r="D13" s="37"/>
      <c r="E13" s="38"/>
      <c r="F13" s="38"/>
      <c r="G13" s="39"/>
      <c r="H13" s="38"/>
      <c r="I13" s="22"/>
      <c r="J13" s="22"/>
      <c r="K13" s="22"/>
      <c r="L13" s="22"/>
      <c r="M13" s="22"/>
      <c r="N13" s="22"/>
      <c r="O13" s="22"/>
      <c r="P13" s="22"/>
      <c r="Q13" s="205"/>
    </row>
    <row r="14" spans="1:30" ht="13.5" thickBot="1">
      <c r="A14" s="24"/>
      <c r="B14" s="41"/>
      <c r="C14" s="25"/>
      <c r="D14" s="26"/>
      <c r="E14" s="27"/>
      <c r="F14" s="27"/>
      <c r="G14" s="27"/>
      <c r="H14" s="28"/>
      <c r="I14" s="22"/>
      <c r="J14" s="22"/>
      <c r="K14" s="22"/>
      <c r="L14" s="22"/>
      <c r="M14" s="22"/>
      <c r="N14" s="22"/>
      <c r="O14" s="22"/>
      <c r="P14" s="22"/>
      <c r="Q14" s="205"/>
    </row>
    <row r="15" spans="1:30" ht="13.5" thickBot="1">
      <c r="A15" s="30" t="s">
        <v>148</v>
      </c>
      <c r="B15" s="42"/>
      <c r="C15" s="31"/>
      <c r="D15" s="32">
        <f>SUM(D6:D14)</f>
        <v>720</v>
      </c>
      <c r="E15" s="40">
        <f>E14+E12+E11+E10+E9+E8+E7+E6+E13</f>
        <v>31.950416666666662</v>
      </c>
      <c r="F15" s="40">
        <f t="shared" ref="F15:P15" si="0">F14+F12+F11+F10+F9+F8+F7+F6+F13</f>
        <v>32.978291666666664</v>
      </c>
      <c r="G15" s="40">
        <f t="shared" si="0"/>
        <v>72.706041666666664</v>
      </c>
      <c r="H15" s="40">
        <f t="shared" si="0"/>
        <v>717.12124999999992</v>
      </c>
      <c r="I15" s="40">
        <f t="shared" si="0"/>
        <v>0.36882500000000001</v>
      </c>
      <c r="J15" s="40">
        <f t="shared" si="0"/>
        <v>16.031374999999997</v>
      </c>
      <c r="K15" s="40">
        <f t="shared" si="0"/>
        <v>271.85395833333337</v>
      </c>
      <c r="L15" s="40">
        <f t="shared" si="0"/>
        <v>2.5784166666666666</v>
      </c>
      <c r="M15" s="40">
        <f t="shared" si="0"/>
        <v>197.89249999999998</v>
      </c>
      <c r="N15" s="40">
        <f t="shared" si="0"/>
        <v>462.50662499999999</v>
      </c>
      <c r="O15" s="40">
        <f t="shared" si="0"/>
        <v>95.947083333333325</v>
      </c>
      <c r="P15" s="40">
        <f t="shared" si="0"/>
        <v>10.072083333333332</v>
      </c>
      <c r="Q15" s="64" t="s">
        <v>84</v>
      </c>
    </row>
    <row r="16" spans="1:30" s="203" customFormat="1" ht="12" thickBot="1">
      <c r="A16" s="197"/>
      <c r="B16" s="198"/>
      <c r="C16" s="199" t="s">
        <v>115</v>
      </c>
      <c r="D16" s="200"/>
      <c r="E16" s="201">
        <v>77</v>
      </c>
      <c r="F16" s="201">
        <v>79</v>
      </c>
      <c r="G16" s="201">
        <v>335</v>
      </c>
      <c r="H16" s="201">
        <v>2350</v>
      </c>
      <c r="I16" s="202"/>
      <c r="J16" s="202"/>
      <c r="K16" s="202"/>
      <c r="L16" s="202"/>
      <c r="M16" s="202"/>
      <c r="N16" s="202"/>
      <c r="O16" s="202"/>
      <c r="P16" s="202"/>
      <c r="Q16" s="65" t="s">
        <v>85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17" ht="13.5" thickBot="1">
      <c r="A17" s="30"/>
      <c r="B17" s="42"/>
      <c r="C17" s="60" t="s">
        <v>116</v>
      </c>
      <c r="D17" s="32"/>
      <c r="E17" s="59">
        <f>E15*100/E16</f>
        <v>41.494047619047613</v>
      </c>
      <c r="F17" s="59">
        <f>F15*100/F16</f>
        <v>41.74467299578059</v>
      </c>
      <c r="G17" s="59">
        <f>G15*100/G16</f>
        <v>21.703296019900495</v>
      </c>
      <c r="H17" s="59">
        <f>H15*100/H16</f>
        <v>30.515797872340418</v>
      </c>
      <c r="I17" s="40"/>
      <c r="J17" s="40"/>
      <c r="K17" s="40"/>
      <c r="L17" s="40"/>
      <c r="M17" s="40"/>
      <c r="N17" s="40"/>
      <c r="O17" s="40"/>
      <c r="P17" s="40"/>
      <c r="Q17" s="66" t="s">
        <v>91</v>
      </c>
    </row>
    <row r="18" spans="1:17">
      <c r="Q18" s="20"/>
    </row>
  </sheetData>
  <mergeCells count="14">
    <mergeCell ref="D6:D7"/>
    <mergeCell ref="H4:H5"/>
    <mergeCell ref="G4:G5"/>
    <mergeCell ref="F4:F5"/>
    <mergeCell ref="C6:C7"/>
    <mergeCell ref="A1:Q1"/>
    <mergeCell ref="Q4:Q5"/>
    <mergeCell ref="I4:L4"/>
    <mergeCell ref="M4:P4"/>
    <mergeCell ref="A4:A5"/>
    <mergeCell ref="B4:B5"/>
    <mergeCell ref="C4:C5"/>
    <mergeCell ref="D4:D5"/>
    <mergeCell ref="E4:E5"/>
  </mergeCells>
  <phoneticPr fontId="3" type="noConversion"/>
  <pageMargins left="0.19685039370078741" right="0.19685039370078741" top="0.39370078740157483" bottom="0.39370078740157483" header="0" footer="0"/>
  <pageSetup paperSize="9" scale="93" orientation="landscape" r:id="rId1"/>
  <headerFooter alignWithMargins="0"/>
  <ignoredErrors>
    <ignoredError sqref="E17:H1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"/>
  <sheetViews>
    <sheetView workbookViewId="0">
      <selection activeCell="M25" sqref="M25"/>
    </sheetView>
  </sheetViews>
  <sheetFormatPr defaultRowHeight="12.75"/>
  <cols>
    <col min="1" max="1" width="6.28515625" customWidth="1"/>
    <col min="2" max="2" width="5" customWidth="1"/>
    <col min="3" max="3" width="35.85546875" customWidth="1"/>
    <col min="4" max="4" width="4" bestFit="1" customWidth="1"/>
    <col min="5" max="6" width="5.42578125" bestFit="1" customWidth="1"/>
    <col min="7" max="8" width="6.42578125" bestFit="1" customWidth="1"/>
    <col min="9" max="9" width="4.42578125" bestFit="1" customWidth="1"/>
    <col min="10" max="10" width="5.42578125" bestFit="1" customWidth="1"/>
    <col min="11" max="11" width="6.42578125" bestFit="1" customWidth="1"/>
    <col min="12" max="12" width="4.42578125" bestFit="1" customWidth="1"/>
    <col min="13" max="15" width="6.42578125" bestFit="1" customWidth="1"/>
    <col min="16" max="16" width="5.42578125" bestFit="1" customWidth="1"/>
    <col min="17" max="17" width="40" bestFit="1" customWidth="1"/>
  </cols>
  <sheetData>
    <row r="1" spans="1:30" s="4" customFormat="1">
      <c r="A1" s="216" t="s">
        <v>125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4" customFormat="1">
      <c r="A2" s="4" t="s">
        <v>74</v>
      </c>
      <c r="B2" s="5"/>
    </row>
    <row r="3" spans="1:30" s="4" customFormat="1" ht="13.5" thickBot="1"/>
    <row r="4" spans="1:30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s="74" customFormat="1" ht="12.75" customHeight="1">
      <c r="A6" s="69" t="s">
        <v>80</v>
      </c>
      <c r="B6" s="137">
        <v>95</v>
      </c>
      <c r="C6" s="230" t="s">
        <v>141</v>
      </c>
      <c r="D6" s="228">
        <v>200</v>
      </c>
      <c r="E6" s="55">
        <f>[7]Лист1!$J$11</f>
        <v>1.44</v>
      </c>
      <c r="F6" s="55">
        <f>[7]Лист1!$J$12</f>
        <v>3.54</v>
      </c>
      <c r="G6" s="55">
        <f>[7]Лист1!$J$13</f>
        <v>5.72</v>
      </c>
      <c r="H6" s="56">
        <f>[7]Лист1!$J$14</f>
        <v>60.5</v>
      </c>
      <c r="I6" s="57">
        <f>[7]Лист1!$M$16</f>
        <v>0.04</v>
      </c>
      <c r="J6" s="57">
        <f>[7]Лист1!$M$15</f>
        <v>5.98</v>
      </c>
      <c r="K6" s="57">
        <f>[7]Лист1!$M$17</f>
        <v>0</v>
      </c>
      <c r="L6" s="57">
        <f>[7]Лист1!$M$18</f>
        <v>1.92</v>
      </c>
      <c r="M6" s="57">
        <f>[7]Лист1!$M$11</f>
        <v>32.700000000000003</v>
      </c>
      <c r="N6" s="57">
        <f>[7]Лист1!$M$12</f>
        <v>42.3</v>
      </c>
      <c r="O6" s="57">
        <f>[7]Лист1!$M$13</f>
        <v>20.54</v>
      </c>
      <c r="P6" s="57">
        <f>[7]Лист1!$M$14</f>
        <v>0.97199999999999986</v>
      </c>
      <c r="Q6" s="204" t="s">
        <v>118</v>
      </c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1:30" ht="12.75" customHeight="1">
      <c r="A7" s="24"/>
      <c r="B7" s="41">
        <v>89</v>
      </c>
      <c r="C7" s="230"/>
      <c r="D7" s="229"/>
      <c r="E7" s="27">
        <f>[7]Лист1!$W$11</f>
        <v>4.3679999999999994</v>
      </c>
      <c r="F7" s="27">
        <f>[7]Лист1!$W$12</f>
        <v>3.1040000000000001</v>
      </c>
      <c r="G7" s="27">
        <f>[7]Лист1!$W$13</f>
        <v>0.25600000000000001</v>
      </c>
      <c r="H7" s="28">
        <f>[7]Лист1!$W$14</f>
        <v>46.4</v>
      </c>
      <c r="I7" s="22">
        <f>[7]Лист1!$Z$16</f>
        <v>8.0000000000000002E-3</v>
      </c>
      <c r="J7" s="22">
        <f>[7]Лист1!$Z$15</f>
        <v>0.14400000000000002</v>
      </c>
      <c r="K7" s="22">
        <f>[7]Лист1!$Z$17</f>
        <v>0</v>
      </c>
      <c r="L7" s="22">
        <f>[7]Лист1!$Z$18</f>
        <v>0.112</v>
      </c>
      <c r="M7" s="22">
        <f>[7]Лист1!$Z$11</f>
        <v>3.8880000000000003</v>
      </c>
      <c r="N7" s="22">
        <f>[7]Лист1!$Z$12</f>
        <v>35.567999999999998</v>
      </c>
      <c r="O7" s="22">
        <f>[7]Лист1!$Z$13</f>
        <v>4.88</v>
      </c>
      <c r="P7" s="22">
        <f>[7]Лист1!$Z$14</f>
        <v>0.57600000000000007</v>
      </c>
      <c r="Q7" s="205" t="s">
        <v>142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45" customFormat="1" ht="24.75" customHeight="1">
      <c r="A8" s="196"/>
      <c r="B8" s="41">
        <v>433</v>
      </c>
      <c r="C8" s="231"/>
      <c r="D8" s="26">
        <v>10</v>
      </c>
      <c r="E8" s="27">
        <f>[27]Лист1!$J$23</f>
        <v>0.24</v>
      </c>
      <c r="F8" s="27">
        <f>[27]Лист1!$J$24</f>
        <v>1.5</v>
      </c>
      <c r="G8" s="27">
        <f>[27]Лист1!$J$25</f>
        <v>0.32400000000000001</v>
      </c>
      <c r="H8" s="28">
        <f>[27]Лист1!$J$26</f>
        <v>15.75</v>
      </c>
      <c r="I8" s="22">
        <f>[27]Лист1!$M$16</f>
        <v>1.9199999999999998E-3</v>
      </c>
      <c r="J8" s="22">
        <f>[27]Лист1!$M$27</f>
        <v>0.02</v>
      </c>
      <c r="K8" s="22">
        <f>[27]Лист1!$M$29</f>
        <v>9.5</v>
      </c>
      <c r="L8" s="22">
        <f>[27]Лист1!$M$30</f>
        <v>0.03</v>
      </c>
      <c r="M8" s="22">
        <f>[27]Лист1!$M$23</f>
        <v>7.92</v>
      </c>
      <c r="N8" s="22">
        <f>[27]Лист1!$M$24</f>
        <v>5.1849999999999996</v>
      </c>
      <c r="O8" s="22">
        <f>[27]Лист1!$M$25</f>
        <v>0.81</v>
      </c>
      <c r="P8" s="22">
        <f>[27]Лист1!$M$26</f>
        <v>1.7999999999999999E-2</v>
      </c>
      <c r="Q8" s="215" t="s">
        <v>143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s="45" customFormat="1" ht="25.5">
      <c r="A9" s="196"/>
      <c r="B9" s="41">
        <v>43</v>
      </c>
      <c r="C9" s="46" t="s">
        <v>144</v>
      </c>
      <c r="D9" s="47">
        <v>80</v>
      </c>
      <c r="E9" s="48">
        <f>[28]Лист1!$J$23</f>
        <v>1.2</v>
      </c>
      <c r="F9" s="48">
        <f>[28]Лист1!$J$24</f>
        <v>5.04</v>
      </c>
      <c r="G9" s="48">
        <f>[28]Лист1!$J$25</f>
        <v>6.56</v>
      </c>
      <c r="H9" s="48">
        <f>[28]Лист1!$J$26</f>
        <v>76.8</v>
      </c>
      <c r="I9" s="50">
        <f>[28]Лист1!$M$28</f>
        <v>5.6000000000000008E-2</v>
      </c>
      <c r="J9" s="50">
        <f>[28]Лист1!$M$27</f>
        <v>8.56</v>
      </c>
      <c r="K9" s="50">
        <f>[28]Лист1!$M$29</f>
        <v>0</v>
      </c>
      <c r="L9" s="50">
        <f>[28]Лист1!$M$30</f>
        <v>2.2400000000000002</v>
      </c>
      <c r="M9" s="50">
        <f>[28]Лист1!$M$23</f>
        <v>11.2</v>
      </c>
      <c r="N9" s="50">
        <f>[28]Лист1!$M$24</f>
        <v>37.6</v>
      </c>
      <c r="O9" s="50">
        <f>[28]Лист1!$M$25</f>
        <v>14.4</v>
      </c>
      <c r="P9" s="50">
        <f>[28]Лист1!$M$26</f>
        <v>0.56000000000000005</v>
      </c>
      <c r="Q9" s="206" t="s">
        <v>145</v>
      </c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>
      <c r="A10" s="24"/>
      <c r="B10" s="41">
        <v>259</v>
      </c>
      <c r="C10" s="25" t="s">
        <v>146</v>
      </c>
      <c r="D10" s="26">
        <v>180</v>
      </c>
      <c r="E10" s="27">
        <f>[34]Лист1!$J$23</f>
        <v>11.07</v>
      </c>
      <c r="F10" s="27">
        <f>[34]Лист1!$J$24</f>
        <v>9</v>
      </c>
      <c r="G10" s="27">
        <f>[34]Лист1!$J$25</f>
        <v>32.31</v>
      </c>
      <c r="H10" s="27">
        <f>[34]Лист1!$J$26</f>
        <v>254.7</v>
      </c>
      <c r="I10" s="22">
        <f>[34]Лист1!$M$28</f>
        <v>6.2999999999999987E-2</v>
      </c>
      <c r="J10" s="22">
        <f>[34]Лист1!$M$27</f>
        <v>0.18</v>
      </c>
      <c r="K10" s="22">
        <f>[34]Лист1!$M$29</f>
        <v>66.510000000000005</v>
      </c>
      <c r="L10" s="22">
        <f>[34]Лист1!$M$30</f>
        <v>0.99</v>
      </c>
      <c r="M10" s="22">
        <f>[34]Лист1!$M$23</f>
        <v>204.75</v>
      </c>
      <c r="N10" s="22">
        <f>[34]Лист1!$M$24</f>
        <v>162.99</v>
      </c>
      <c r="O10" s="22">
        <f>[34]Лист1!$M$25</f>
        <v>20.16</v>
      </c>
      <c r="P10" s="22">
        <f>[34]Лист1!$M$26</f>
        <v>1.3032000000000001</v>
      </c>
      <c r="Q10" s="205" t="s">
        <v>147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24"/>
      <c r="B11" s="41">
        <v>115</v>
      </c>
      <c r="C11" s="25" t="s">
        <v>12</v>
      </c>
      <c r="D11" s="26">
        <v>25</v>
      </c>
      <c r="E11" s="27">
        <v>1.65</v>
      </c>
      <c r="F11" s="27">
        <v>0.3</v>
      </c>
      <c r="G11" s="27">
        <v>8.35</v>
      </c>
      <c r="H11" s="27">
        <v>43.5</v>
      </c>
      <c r="I11" s="22">
        <v>0.05</v>
      </c>
      <c r="J11" s="22">
        <v>0</v>
      </c>
      <c r="K11" s="22">
        <v>0</v>
      </c>
      <c r="L11" s="22">
        <v>8.0000000000000002E-3</v>
      </c>
      <c r="M11" s="22">
        <v>8.75</v>
      </c>
      <c r="N11" s="22">
        <v>12.5</v>
      </c>
      <c r="O11" s="22">
        <v>11.75</v>
      </c>
      <c r="P11" s="22">
        <v>0.97499999999999998</v>
      </c>
      <c r="Q11" s="20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A12" s="24"/>
      <c r="B12" s="41">
        <v>114</v>
      </c>
      <c r="C12" s="25" t="s">
        <v>13</v>
      </c>
      <c r="D12" s="26">
        <v>45</v>
      </c>
      <c r="E12" s="27">
        <v>3.5550000000000002</v>
      </c>
      <c r="F12" s="27">
        <v>0.45</v>
      </c>
      <c r="G12" s="27">
        <v>21.734999999999999</v>
      </c>
      <c r="H12" s="27">
        <v>105.75</v>
      </c>
      <c r="I12" s="22">
        <v>0.09</v>
      </c>
      <c r="J12" s="22">
        <v>0</v>
      </c>
      <c r="K12" s="22">
        <v>0</v>
      </c>
      <c r="L12" s="22">
        <v>0.27</v>
      </c>
      <c r="M12" s="22">
        <v>10.35</v>
      </c>
      <c r="N12" s="22">
        <v>27</v>
      </c>
      <c r="O12" s="22">
        <v>14.85</v>
      </c>
      <c r="P12" s="22">
        <v>0.85499999999999998</v>
      </c>
      <c r="Q12" s="205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23.25" thickBot="1">
      <c r="A13" s="24"/>
      <c r="B13" s="44">
        <v>483</v>
      </c>
      <c r="C13" s="36" t="s">
        <v>134</v>
      </c>
      <c r="D13" s="37">
        <v>200</v>
      </c>
      <c r="E13" s="38">
        <f>[30]Лист1!$J$24</f>
        <v>0.2</v>
      </c>
      <c r="F13" s="38">
        <f>[30]Лист1!$J$25</f>
        <v>0</v>
      </c>
      <c r="G13" s="39">
        <f>[30]Лист1!$J$26</f>
        <v>27.6</v>
      </c>
      <c r="H13" s="38">
        <f>[30]Лист1!$J$27</f>
        <v>110</v>
      </c>
      <c r="I13" s="22">
        <f>[30]Лист1!$M$29</f>
        <v>0</v>
      </c>
      <c r="J13" s="22">
        <f>[30]Лист1!$M$28</f>
        <v>0.04</v>
      </c>
      <c r="K13" s="22">
        <f>[30]Лист1!$M$30</f>
        <v>0</v>
      </c>
      <c r="L13" s="22">
        <f>[30]Лист1!$M$31</f>
        <v>0</v>
      </c>
      <c r="M13" s="22">
        <f>[30]Лист1!$M$24</f>
        <v>6.6</v>
      </c>
      <c r="N13" s="22">
        <f>[30]Лист1!$M$25</f>
        <v>7.8</v>
      </c>
      <c r="O13" s="22">
        <f>[30]Лист1!$M$26</f>
        <v>1.6</v>
      </c>
      <c r="P13" s="22">
        <f>[30]Лист1!$M$27</f>
        <v>0.32</v>
      </c>
      <c r="Q13" s="215" t="s">
        <v>104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3.5" thickBot="1">
      <c r="A14" s="30" t="s">
        <v>148</v>
      </c>
      <c r="B14" s="42"/>
      <c r="C14" s="31"/>
      <c r="D14" s="32">
        <f>D13+D12+D11+D10+D9+D8+D7+D6</f>
        <v>740</v>
      </c>
      <c r="E14" s="40">
        <f t="shared" ref="E14:P14" si="0">E13+E12+E11+E10+E9+E8+E7+E6</f>
        <v>23.722999999999999</v>
      </c>
      <c r="F14" s="40">
        <f t="shared" si="0"/>
        <v>22.933999999999997</v>
      </c>
      <c r="G14" s="40">
        <f t="shared" si="0"/>
        <v>102.855</v>
      </c>
      <c r="H14" s="40">
        <f t="shared" si="0"/>
        <v>713.4</v>
      </c>
      <c r="I14" s="40">
        <f t="shared" si="0"/>
        <v>0.30891999999999997</v>
      </c>
      <c r="J14" s="40">
        <f t="shared" si="0"/>
        <v>14.924000000000001</v>
      </c>
      <c r="K14" s="40">
        <f t="shared" si="0"/>
        <v>76.010000000000005</v>
      </c>
      <c r="L14" s="40">
        <f t="shared" si="0"/>
        <v>5.57</v>
      </c>
      <c r="M14" s="40">
        <f t="shared" si="0"/>
        <v>286.15799999999996</v>
      </c>
      <c r="N14" s="40">
        <f t="shared" si="0"/>
        <v>330.94300000000004</v>
      </c>
      <c r="O14" s="40">
        <f t="shared" si="0"/>
        <v>88.990000000000009</v>
      </c>
      <c r="P14" s="40">
        <f t="shared" si="0"/>
        <v>5.5791999999999984</v>
      </c>
      <c r="Q14" s="64" t="s">
        <v>84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03" customFormat="1" ht="12" thickBot="1">
      <c r="A15" s="197"/>
      <c r="B15" s="198"/>
      <c r="C15" s="199" t="s">
        <v>115</v>
      </c>
      <c r="D15" s="200"/>
      <c r="E15" s="201">
        <v>77</v>
      </c>
      <c r="F15" s="201">
        <v>79</v>
      </c>
      <c r="G15" s="201">
        <v>335</v>
      </c>
      <c r="H15" s="201">
        <v>2350</v>
      </c>
      <c r="I15" s="202"/>
      <c r="J15" s="202"/>
      <c r="K15" s="202"/>
      <c r="L15" s="202"/>
      <c r="M15" s="202"/>
      <c r="N15" s="202"/>
      <c r="O15" s="202"/>
      <c r="P15" s="202"/>
      <c r="Q15" s="65" t="s">
        <v>85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3.5" thickBot="1">
      <c r="A16" s="30"/>
      <c r="B16" s="42"/>
      <c r="C16" s="60" t="s">
        <v>116</v>
      </c>
      <c r="D16" s="32"/>
      <c r="E16" s="59">
        <f>E14*100/E15</f>
        <v>30.809090909090905</v>
      </c>
      <c r="F16" s="59">
        <f>F14*100/F15</f>
        <v>29.03037974683544</v>
      </c>
      <c r="G16" s="59">
        <f>G14*100/G15</f>
        <v>30.702985074626866</v>
      </c>
      <c r="H16" s="59">
        <f>H14*100/H15</f>
        <v>30.357446808510637</v>
      </c>
      <c r="I16" s="40"/>
      <c r="J16" s="40"/>
      <c r="K16" s="40"/>
      <c r="L16" s="40"/>
      <c r="M16" s="40"/>
      <c r="N16" s="40"/>
      <c r="O16" s="40"/>
      <c r="P16" s="40"/>
      <c r="Q16" s="66" t="s">
        <v>91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1">
      <c r="A17" s="4"/>
    </row>
  </sheetData>
  <mergeCells count="14">
    <mergeCell ref="C6:C8"/>
    <mergeCell ref="D6:D7"/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69"/>
  <sheetViews>
    <sheetView workbookViewId="0">
      <pane xSplit="10" ySplit="1" topLeftCell="U2" activePane="bottomRight" state="frozen"/>
      <selection pane="topRight" activeCell="K1" sqref="K1"/>
      <selection pane="bottomLeft" activeCell="A2" sqref="A2"/>
      <selection pane="bottomRight" activeCell="Y11" sqref="Y11"/>
    </sheetView>
  </sheetViews>
  <sheetFormatPr defaultRowHeight="12.75"/>
  <cols>
    <col min="1" max="1" width="2.42578125" customWidth="1"/>
    <col min="2" max="2" width="31.7109375" customWidth="1"/>
    <col min="3" max="3" width="7.28515625" customWidth="1"/>
    <col min="5" max="5" width="7.28515625" customWidth="1"/>
    <col min="7" max="7" width="9.28515625" bestFit="1" customWidth="1"/>
    <col min="8" max="8" width="6.42578125" bestFit="1" customWidth="1"/>
    <col min="9" max="10" width="9.28515625" bestFit="1" customWidth="1"/>
    <col min="11" max="13" width="6.42578125" customWidth="1"/>
    <col min="14" max="17" width="6.42578125" bestFit="1" customWidth="1"/>
    <col min="18" max="20" width="6.42578125" customWidth="1"/>
    <col min="21" max="21" width="7.140625" customWidth="1"/>
    <col min="22" max="30" width="6.42578125" customWidth="1"/>
  </cols>
  <sheetData>
    <row r="1" spans="1:30" ht="33" customHeight="1" thickBot="1">
      <c r="A1" s="2"/>
      <c r="B1" s="240" t="s">
        <v>140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30" s="203" customFormat="1" ht="15" customHeight="1" thickBot="1">
      <c r="B2" s="243" t="s">
        <v>64</v>
      </c>
      <c r="C2" s="245" t="s">
        <v>65</v>
      </c>
      <c r="D2" s="247" t="s">
        <v>168</v>
      </c>
      <c r="E2" s="249" t="s">
        <v>181</v>
      </c>
      <c r="F2" s="251" t="s">
        <v>180</v>
      </c>
      <c r="G2" s="241" t="s">
        <v>159</v>
      </c>
      <c r="H2" s="253" t="s">
        <v>193</v>
      </c>
      <c r="I2" s="255" t="s">
        <v>162</v>
      </c>
      <c r="J2" s="257" t="s">
        <v>163</v>
      </c>
      <c r="K2" s="209" t="s">
        <v>10</v>
      </c>
      <c r="L2" s="210" t="s">
        <v>10</v>
      </c>
      <c r="M2" s="209" t="s">
        <v>11</v>
      </c>
      <c r="N2" s="210" t="s">
        <v>11</v>
      </c>
      <c r="O2" s="148" t="s">
        <v>58</v>
      </c>
      <c r="P2" s="149" t="s">
        <v>58</v>
      </c>
      <c r="Q2" s="209" t="s">
        <v>161</v>
      </c>
      <c r="R2" s="210" t="s">
        <v>161</v>
      </c>
      <c r="S2" s="133" t="s">
        <v>59</v>
      </c>
      <c r="T2" s="150" t="s">
        <v>59</v>
      </c>
      <c r="U2" s="211" t="s">
        <v>77</v>
      </c>
      <c r="V2" s="212" t="s">
        <v>77</v>
      </c>
      <c r="W2" s="148" t="s">
        <v>60</v>
      </c>
      <c r="X2" s="149" t="s">
        <v>60</v>
      </c>
      <c r="Y2" s="148" t="s">
        <v>61</v>
      </c>
      <c r="Z2" s="149" t="s">
        <v>61</v>
      </c>
      <c r="AA2" s="133" t="s">
        <v>62</v>
      </c>
      <c r="AB2" s="150" t="s">
        <v>62</v>
      </c>
      <c r="AC2" s="18" t="s">
        <v>63</v>
      </c>
      <c r="AD2" s="151" t="s">
        <v>63</v>
      </c>
    </row>
    <row r="3" spans="1:30" ht="31.5" customHeight="1" thickBot="1">
      <c r="B3" s="244"/>
      <c r="C3" s="246"/>
      <c r="D3" s="248"/>
      <c r="E3" s="250"/>
      <c r="F3" s="252"/>
      <c r="G3" s="242"/>
      <c r="H3" s="254"/>
      <c r="I3" s="256"/>
      <c r="J3" s="258"/>
      <c r="K3" s="192" t="s">
        <v>164</v>
      </c>
      <c r="L3" s="146" t="s">
        <v>165</v>
      </c>
      <c r="M3" s="147" t="s">
        <v>164</v>
      </c>
      <c r="N3" s="146" t="s">
        <v>166</v>
      </c>
      <c r="O3" s="147" t="s">
        <v>164</v>
      </c>
      <c r="P3" s="146" t="s">
        <v>165</v>
      </c>
      <c r="Q3" s="148" t="s">
        <v>164</v>
      </c>
      <c r="R3" s="149" t="s">
        <v>165</v>
      </c>
      <c r="S3" s="133" t="s">
        <v>164</v>
      </c>
      <c r="T3" s="150" t="s">
        <v>165</v>
      </c>
      <c r="U3" s="148" t="s">
        <v>164</v>
      </c>
      <c r="V3" s="149" t="s">
        <v>165</v>
      </c>
      <c r="W3" s="147" t="s">
        <v>164</v>
      </c>
      <c r="X3" s="146" t="s">
        <v>165</v>
      </c>
      <c r="Y3" s="147" t="s">
        <v>164</v>
      </c>
      <c r="Z3" s="146" t="s">
        <v>167</v>
      </c>
      <c r="AA3" s="133" t="s">
        <v>164</v>
      </c>
      <c r="AB3" s="150" t="s">
        <v>165</v>
      </c>
      <c r="AC3" s="18" t="s">
        <v>164</v>
      </c>
      <c r="AD3" s="151" t="s">
        <v>165</v>
      </c>
    </row>
    <row r="4" spans="1:30" ht="16.5" thickBot="1">
      <c r="B4" s="10" t="s">
        <v>12</v>
      </c>
      <c r="C4" s="119">
        <v>80</v>
      </c>
      <c r="D4" s="152">
        <f>C4*30/100</f>
        <v>24</v>
      </c>
      <c r="E4" s="153">
        <f>I4/10</f>
        <v>28</v>
      </c>
      <c r="F4" s="154">
        <f>J4/10</f>
        <v>28</v>
      </c>
      <c r="G4" s="155">
        <f>F4*30/D4</f>
        <v>35</v>
      </c>
      <c r="H4" s="19">
        <f>E4/1000*58.2</f>
        <v>1.6296000000000002</v>
      </c>
      <c r="I4" s="16">
        <f t="shared" ref="I4:I35" si="0">K4+M4+O4+Q4+S4+Y4+W4+U4+AA4+AC4</f>
        <v>280</v>
      </c>
      <c r="J4" s="156">
        <f t="shared" ref="J4:J35" si="1">L4+N4+P4+R4+T4+Z4+X4+V4+AB4+AD4</f>
        <v>280</v>
      </c>
      <c r="K4" s="90">
        <f>'1день'!D9</f>
        <v>25</v>
      </c>
      <c r="L4" s="157">
        <f>K4</f>
        <v>25</v>
      </c>
      <c r="M4" s="90">
        <f>'2 день'!D10</f>
        <v>25</v>
      </c>
      <c r="N4" s="157">
        <f>'2 день'!D10</f>
        <v>25</v>
      </c>
      <c r="O4" s="90">
        <f>'3 день '!D10</f>
        <v>40</v>
      </c>
      <c r="P4" s="157">
        <f>'3 день '!D10</f>
        <v>40</v>
      </c>
      <c r="Q4" s="90">
        <f>'4 день  '!D9</f>
        <v>25</v>
      </c>
      <c r="R4" s="157">
        <f>'4 день  '!D9</f>
        <v>25</v>
      </c>
      <c r="S4" s="158">
        <f>'5 день'!D10</f>
        <v>40</v>
      </c>
      <c r="T4" s="159">
        <f>'5 день'!D10</f>
        <v>40</v>
      </c>
      <c r="U4" s="160">
        <f>'6 день '!D10</f>
        <v>25</v>
      </c>
      <c r="V4" s="161">
        <f>'6 день '!D10</f>
        <v>25</v>
      </c>
      <c r="W4" s="160">
        <f>'7 день'!D9</f>
        <v>25</v>
      </c>
      <c r="X4" s="161">
        <f>'7 день'!D9</f>
        <v>25</v>
      </c>
      <c r="Y4" s="160">
        <f>'8 день '!D11</f>
        <v>25</v>
      </c>
      <c r="Z4" s="161">
        <f>'8 день '!D11</f>
        <v>25</v>
      </c>
      <c r="AA4" s="160">
        <f>'9 день '!D10</f>
        <v>25</v>
      </c>
      <c r="AB4" s="161">
        <f>'9 день '!D10</f>
        <v>25</v>
      </c>
      <c r="AC4" s="90">
        <f>'10 день '!D11</f>
        <v>25</v>
      </c>
      <c r="AD4" s="157">
        <f>AC4</f>
        <v>25</v>
      </c>
    </row>
    <row r="5" spans="1:30" ht="16.5" thickBot="1">
      <c r="B5" s="11" t="s">
        <v>13</v>
      </c>
      <c r="C5" s="117">
        <v>150</v>
      </c>
      <c r="D5" s="152">
        <f t="shared" ref="D5:D68" si="2">C5*30/100</f>
        <v>45</v>
      </c>
      <c r="E5" s="153">
        <f t="shared" ref="E5:F68" si="3">I5/10</f>
        <v>45.36</v>
      </c>
      <c r="F5" s="154">
        <f t="shared" si="3"/>
        <v>45.36</v>
      </c>
      <c r="G5" s="155">
        <f t="shared" ref="G5:G7" si="4">F5*30/D5</f>
        <v>30.24</v>
      </c>
      <c r="H5" s="19">
        <f>E5/1000*83.4</f>
        <v>3.7830240000000002</v>
      </c>
      <c r="I5" s="16">
        <f t="shared" si="0"/>
        <v>453.6</v>
      </c>
      <c r="J5" s="156">
        <f t="shared" si="1"/>
        <v>453.6</v>
      </c>
      <c r="K5" s="91">
        <f>'1день'!D10</f>
        <v>45</v>
      </c>
      <c r="L5" s="163">
        <f>K5</f>
        <v>45</v>
      </c>
      <c r="M5" s="91">
        <f>'2 день'!D11</f>
        <v>45</v>
      </c>
      <c r="N5" s="163">
        <f>'2 день'!D11</f>
        <v>45</v>
      </c>
      <c r="O5" s="91">
        <f>'3 день '!D11</f>
        <v>30</v>
      </c>
      <c r="P5" s="163">
        <f>'3 день '!D11</f>
        <v>30</v>
      </c>
      <c r="Q5" s="91">
        <f>'4 день  '!D10</f>
        <v>45</v>
      </c>
      <c r="R5" s="163">
        <f>'4 день  '!D10</f>
        <v>45</v>
      </c>
      <c r="S5" s="164">
        <f>[19]Лист1!$C$16+'5 день'!D11</f>
        <v>61.8</v>
      </c>
      <c r="T5" s="165">
        <f>[19]Лист1!$D$16+'5 день'!D11</f>
        <v>61.8</v>
      </c>
      <c r="U5" s="166">
        <f>'6 день '!D11+[19]Лист1!$C$16</f>
        <v>61.8</v>
      </c>
      <c r="V5" s="167">
        <f>'6 день '!D11+[19]Лист1!$D$16</f>
        <v>61.8</v>
      </c>
      <c r="W5" s="166">
        <f>'7 день'!D10</f>
        <v>30</v>
      </c>
      <c r="X5" s="167">
        <f>'7 день'!D10</f>
        <v>30</v>
      </c>
      <c r="Y5" s="166">
        <f>'8 день '!D12</f>
        <v>45</v>
      </c>
      <c r="Z5" s="167">
        <f>'8 день '!D12</f>
        <v>45</v>
      </c>
      <c r="AA5" s="166">
        <f>'9 день '!D11</f>
        <v>45</v>
      </c>
      <c r="AB5" s="167">
        <f>'9 день '!D11</f>
        <v>45</v>
      </c>
      <c r="AC5" s="134">
        <f>'10 день '!D12</f>
        <v>45</v>
      </c>
      <c r="AD5" s="162">
        <f>AC5</f>
        <v>45</v>
      </c>
    </row>
    <row r="6" spans="1:30" ht="16.5" thickBot="1">
      <c r="B6" s="11" t="s">
        <v>14</v>
      </c>
      <c r="C6" s="117">
        <v>15</v>
      </c>
      <c r="D6" s="152">
        <f t="shared" si="2"/>
        <v>4.5</v>
      </c>
      <c r="E6" s="153">
        <f t="shared" si="3"/>
        <v>2.5099499999999999</v>
      </c>
      <c r="F6" s="154">
        <f t="shared" si="3"/>
        <v>2.5099499999999999</v>
      </c>
      <c r="G6" s="155">
        <f t="shared" si="4"/>
        <v>16.732999999999997</v>
      </c>
      <c r="H6" s="19">
        <f>E6/1000*39.2</f>
        <v>9.8390039999999998E-2</v>
      </c>
      <c r="I6" s="16">
        <f t="shared" si="0"/>
        <v>25.099499999999999</v>
      </c>
      <c r="J6" s="156">
        <f t="shared" si="1"/>
        <v>25.099499999999999</v>
      </c>
      <c r="K6" s="91"/>
      <c r="L6" s="163"/>
      <c r="M6" s="91"/>
      <c r="N6" s="163"/>
      <c r="O6" s="91"/>
      <c r="P6" s="163"/>
      <c r="Q6" s="91">
        <f>[35]Лист1!$C$16</f>
        <v>9.9975000000000005</v>
      </c>
      <c r="R6" s="163">
        <f>[35]Лист1!$D$16</f>
        <v>9.9975000000000005</v>
      </c>
      <c r="S6" s="164">
        <f>[36]Лист1!$C$32</f>
        <v>2.5</v>
      </c>
      <c r="T6" s="165">
        <f>[36]Лист1!$D$32</f>
        <v>2.5</v>
      </c>
      <c r="U6" s="166"/>
      <c r="V6" s="167"/>
      <c r="W6" s="166">
        <f>[26]Лист1!$C$21</f>
        <v>1.002</v>
      </c>
      <c r="X6" s="167">
        <f>[26]Лист1!$D$21</f>
        <v>1.002</v>
      </c>
      <c r="Y6" s="166">
        <f>[37]Лист1!$C$27</f>
        <v>9.6</v>
      </c>
      <c r="Z6" s="167">
        <f>[37]Лист1!$D$27</f>
        <v>9.6</v>
      </c>
      <c r="AA6" s="166">
        <f>[17]Лист1!$C$18</f>
        <v>2</v>
      </c>
      <c r="AB6" s="167">
        <f>[17]Лист1!$D$18</f>
        <v>2</v>
      </c>
      <c r="AC6" s="91"/>
      <c r="AD6" s="163"/>
    </row>
    <row r="7" spans="1:30" ht="16.5" thickBot="1">
      <c r="B7" s="11" t="s">
        <v>15</v>
      </c>
      <c r="C7" s="117">
        <v>45</v>
      </c>
      <c r="D7" s="152">
        <f t="shared" si="2"/>
        <v>13.5</v>
      </c>
      <c r="E7" s="153">
        <f t="shared" si="3"/>
        <v>15.04025</v>
      </c>
      <c r="F7" s="154">
        <f t="shared" si="3"/>
        <v>14.91825</v>
      </c>
      <c r="G7" s="155">
        <f t="shared" si="4"/>
        <v>33.151666666666671</v>
      </c>
      <c r="H7" s="19"/>
      <c r="I7" s="16">
        <f t="shared" si="0"/>
        <v>150.4025</v>
      </c>
      <c r="J7" s="156">
        <f t="shared" si="1"/>
        <v>149.1825</v>
      </c>
      <c r="K7" s="118">
        <f t="shared" ref="K7:L7" si="5">K8+K9+K10+K11+K12+K13+K14+K15</f>
        <v>0</v>
      </c>
      <c r="L7" s="118">
        <f t="shared" si="5"/>
        <v>0</v>
      </c>
      <c r="M7" s="118">
        <f t="shared" ref="M7:AB7" si="6">M8+M9+M10+M11+M12+M13+M14+M15</f>
        <v>28.2</v>
      </c>
      <c r="N7" s="118">
        <f t="shared" si="6"/>
        <v>28.04</v>
      </c>
      <c r="O7" s="118">
        <f t="shared" si="6"/>
        <v>37.5</v>
      </c>
      <c r="P7" s="118">
        <f t="shared" si="6"/>
        <v>37.049999999999997</v>
      </c>
      <c r="Q7" s="118">
        <f t="shared" si="6"/>
        <v>11.0025</v>
      </c>
      <c r="R7" s="118">
        <f t="shared" si="6"/>
        <v>11.0025</v>
      </c>
      <c r="S7" s="118">
        <f t="shared" si="6"/>
        <v>0</v>
      </c>
      <c r="T7" s="118">
        <f t="shared" si="6"/>
        <v>0</v>
      </c>
      <c r="U7" s="118">
        <f>U8+U9+U10+U11+U12+U13+U14+U15</f>
        <v>0</v>
      </c>
      <c r="V7" s="118">
        <f>V8+V9+V10+V11+V12+V13+V14+V15</f>
        <v>0</v>
      </c>
      <c r="W7" s="118">
        <f t="shared" si="6"/>
        <v>28.2</v>
      </c>
      <c r="X7" s="118">
        <f t="shared" si="6"/>
        <v>28.04</v>
      </c>
      <c r="Y7" s="118">
        <f>Y8+Y9+Y10+Y11+Y12+Y13+Y14+Y15</f>
        <v>8</v>
      </c>
      <c r="Z7" s="118">
        <f>Z8+Z9+Z10+Z11+Z12+Z13+Z14+Z15</f>
        <v>8</v>
      </c>
      <c r="AA7" s="118">
        <f t="shared" si="6"/>
        <v>37.5</v>
      </c>
      <c r="AB7" s="118">
        <f t="shared" si="6"/>
        <v>37.049999999999997</v>
      </c>
      <c r="AC7" s="118">
        <f>AC8+AC9+AC10+AC11+AC12+AC13+AC14+AC15</f>
        <v>0</v>
      </c>
      <c r="AD7" s="118">
        <f t="shared" ref="AD7" si="7">AD8+AD9+AD10+AD11+AD12+AD13+AD14+AD15</f>
        <v>0</v>
      </c>
    </row>
    <row r="8" spans="1:30" ht="16.5" thickBot="1">
      <c r="B8" s="12" t="s">
        <v>16</v>
      </c>
      <c r="C8" s="132"/>
      <c r="D8" s="152"/>
      <c r="E8" s="153">
        <f t="shared" si="3"/>
        <v>0</v>
      </c>
      <c r="F8" s="154">
        <f t="shared" si="3"/>
        <v>0</v>
      </c>
      <c r="G8" s="168"/>
      <c r="H8" s="19">
        <f>F8/1000*61.1</f>
        <v>0</v>
      </c>
      <c r="I8" s="16">
        <f t="shared" si="0"/>
        <v>0</v>
      </c>
      <c r="J8" s="156">
        <f t="shared" si="1"/>
        <v>0</v>
      </c>
      <c r="K8" s="91"/>
      <c r="L8" s="163"/>
      <c r="M8" s="91"/>
      <c r="N8" s="163"/>
      <c r="O8" s="91"/>
      <c r="P8" s="163"/>
      <c r="Q8" s="91"/>
      <c r="R8" s="163"/>
      <c r="S8" s="164"/>
      <c r="T8" s="165"/>
      <c r="U8" s="166"/>
      <c r="V8" s="167"/>
      <c r="W8" s="166"/>
      <c r="X8" s="167"/>
      <c r="Y8" s="166"/>
      <c r="Z8" s="167"/>
      <c r="AA8" s="166"/>
      <c r="AB8" s="167"/>
      <c r="AC8" s="91"/>
      <c r="AD8" s="163"/>
    </row>
    <row r="9" spans="1:30" ht="16.5" thickBot="1">
      <c r="B9" s="12" t="s">
        <v>17</v>
      </c>
      <c r="C9" s="132"/>
      <c r="D9" s="152"/>
      <c r="E9" s="153">
        <f t="shared" si="3"/>
        <v>5.64</v>
      </c>
      <c r="F9" s="154">
        <f t="shared" si="3"/>
        <v>5.6079999999999997</v>
      </c>
      <c r="G9" s="168"/>
      <c r="H9" s="19">
        <f>E9/1000*51.9</f>
        <v>0.29271599999999998</v>
      </c>
      <c r="I9" s="16">
        <f t="shared" si="0"/>
        <v>56.4</v>
      </c>
      <c r="J9" s="156">
        <f t="shared" si="1"/>
        <v>56.08</v>
      </c>
      <c r="K9" s="91"/>
      <c r="L9" s="163"/>
      <c r="M9" s="91">
        <f>[38]Лист1!$C$13</f>
        <v>28.2</v>
      </c>
      <c r="N9" s="163">
        <f>[38]Лист1!$D$13</f>
        <v>28.04</v>
      </c>
      <c r="O9" s="91"/>
      <c r="P9" s="163"/>
      <c r="Q9" s="91"/>
      <c r="R9" s="163"/>
      <c r="S9" s="164"/>
      <c r="T9" s="165"/>
      <c r="U9" s="166"/>
      <c r="V9" s="167"/>
      <c r="W9" s="166">
        <f>[38]Лист1!$C$13</f>
        <v>28.2</v>
      </c>
      <c r="X9" s="167">
        <f>[38]Лист1!$D$13</f>
        <v>28.04</v>
      </c>
      <c r="Y9" s="166"/>
      <c r="Z9" s="167"/>
      <c r="AA9" s="166"/>
      <c r="AB9" s="167"/>
      <c r="AC9" s="91"/>
      <c r="AD9" s="163"/>
    </row>
    <row r="10" spans="1:30" ht="16.5" thickBot="1">
      <c r="B10" s="12" t="s">
        <v>18</v>
      </c>
      <c r="C10" s="132"/>
      <c r="D10" s="152"/>
      <c r="E10" s="153">
        <f t="shared" si="3"/>
        <v>0</v>
      </c>
      <c r="F10" s="154">
        <f t="shared" si="3"/>
        <v>0</v>
      </c>
      <c r="G10" s="168"/>
      <c r="H10" s="19">
        <f>E10/1000*74.8</f>
        <v>0</v>
      </c>
      <c r="I10" s="16">
        <f t="shared" si="0"/>
        <v>0</v>
      </c>
      <c r="J10" s="156">
        <f t="shared" si="1"/>
        <v>0</v>
      </c>
      <c r="K10" s="91"/>
      <c r="L10" s="163"/>
      <c r="M10" s="91"/>
      <c r="N10" s="163"/>
      <c r="O10" s="91"/>
      <c r="P10" s="163"/>
      <c r="Q10" s="91"/>
      <c r="R10" s="163"/>
      <c r="S10" s="164"/>
      <c r="T10" s="165"/>
      <c r="U10" s="166"/>
      <c r="V10" s="167"/>
      <c r="W10" s="166"/>
      <c r="X10" s="167"/>
      <c r="Y10" s="166"/>
      <c r="Z10" s="167"/>
      <c r="AA10" s="166"/>
      <c r="AB10" s="167"/>
      <c r="AC10" s="91"/>
      <c r="AD10" s="163"/>
    </row>
    <row r="11" spans="1:30" ht="16.5" thickBot="1">
      <c r="B11" s="12" t="s">
        <v>19</v>
      </c>
      <c r="C11" s="132"/>
      <c r="D11" s="152"/>
      <c r="E11" s="153">
        <f t="shared" si="3"/>
        <v>1.10025</v>
      </c>
      <c r="F11" s="154">
        <f t="shared" si="3"/>
        <v>1.10025</v>
      </c>
      <c r="G11" s="168"/>
      <c r="H11" s="19">
        <f>E11/1000*48.4</f>
        <v>5.325209999999999E-2</v>
      </c>
      <c r="I11" s="16">
        <f t="shared" si="0"/>
        <v>11.0025</v>
      </c>
      <c r="J11" s="156">
        <f t="shared" si="1"/>
        <v>11.0025</v>
      </c>
      <c r="K11" s="91"/>
      <c r="L11" s="163"/>
      <c r="M11" s="91"/>
      <c r="N11" s="163"/>
      <c r="O11" s="91"/>
      <c r="P11" s="163"/>
      <c r="Q11" s="91">
        <f>[35]Лист1!$C$15</f>
        <v>11.0025</v>
      </c>
      <c r="R11" s="163">
        <f>[35]Лист1!$D$15</f>
        <v>11.0025</v>
      </c>
      <c r="S11" s="164"/>
      <c r="T11" s="165"/>
      <c r="U11" s="166"/>
      <c r="V11" s="167"/>
      <c r="W11" s="166"/>
      <c r="X11" s="167"/>
      <c r="Y11" s="166"/>
      <c r="Z11" s="167"/>
      <c r="AA11" s="166"/>
      <c r="AB11" s="167"/>
      <c r="AC11" s="91"/>
      <c r="AD11" s="163"/>
    </row>
    <row r="12" spans="1:30" ht="16.5" thickBot="1">
      <c r="B12" s="12" t="s">
        <v>20</v>
      </c>
      <c r="C12" s="132"/>
      <c r="D12" s="152"/>
      <c r="E12" s="153">
        <f t="shared" si="3"/>
        <v>0</v>
      </c>
      <c r="F12" s="154">
        <f t="shared" si="3"/>
        <v>0</v>
      </c>
      <c r="G12" s="168"/>
      <c r="H12" s="19">
        <f>E12/1000*30.4</f>
        <v>0</v>
      </c>
      <c r="I12" s="16">
        <f t="shared" si="0"/>
        <v>0</v>
      </c>
      <c r="J12" s="156">
        <f t="shared" si="1"/>
        <v>0</v>
      </c>
      <c r="K12" s="91"/>
      <c r="L12" s="163"/>
      <c r="M12" s="91"/>
      <c r="N12" s="163"/>
      <c r="O12" s="91"/>
      <c r="P12" s="163"/>
      <c r="Q12" s="91"/>
      <c r="R12" s="163"/>
      <c r="S12" s="164"/>
      <c r="T12" s="165"/>
      <c r="U12" s="166"/>
      <c r="V12" s="167"/>
      <c r="W12" s="166"/>
      <c r="X12" s="167"/>
      <c r="Y12" s="166"/>
      <c r="Z12" s="167"/>
      <c r="AA12" s="166"/>
      <c r="AB12" s="167"/>
      <c r="AC12" s="91"/>
      <c r="AD12" s="163"/>
    </row>
    <row r="13" spans="1:30" ht="16.5" thickBot="1">
      <c r="B13" s="12" t="s">
        <v>21</v>
      </c>
      <c r="C13" s="132"/>
      <c r="D13" s="152"/>
      <c r="E13" s="153">
        <f t="shared" si="3"/>
        <v>0</v>
      </c>
      <c r="F13" s="154">
        <f t="shared" si="3"/>
        <v>0</v>
      </c>
      <c r="G13" s="168"/>
      <c r="H13" s="19">
        <f>E133/1000*43</f>
        <v>0</v>
      </c>
      <c r="I13" s="16">
        <f t="shared" si="0"/>
        <v>0</v>
      </c>
      <c r="J13" s="156">
        <f t="shared" si="1"/>
        <v>0</v>
      </c>
      <c r="K13" s="91"/>
      <c r="L13" s="163"/>
      <c r="M13" s="91"/>
      <c r="N13" s="163"/>
      <c r="O13" s="91"/>
      <c r="P13" s="163"/>
      <c r="Q13" s="91"/>
      <c r="R13" s="163"/>
      <c r="S13" s="164"/>
      <c r="T13" s="165"/>
      <c r="U13" s="166"/>
      <c r="V13" s="167"/>
      <c r="W13" s="166"/>
      <c r="X13" s="167"/>
      <c r="Y13" s="166"/>
      <c r="Z13" s="167"/>
      <c r="AA13" s="166"/>
      <c r="AB13" s="167"/>
      <c r="AC13" s="91"/>
      <c r="AD13" s="163"/>
    </row>
    <row r="14" spans="1:30" ht="16.5" thickBot="1">
      <c r="B14" s="12" t="s">
        <v>22</v>
      </c>
      <c r="C14" s="132"/>
      <c r="D14" s="152"/>
      <c r="E14" s="153">
        <f t="shared" si="3"/>
        <v>7.5</v>
      </c>
      <c r="F14" s="154">
        <f t="shared" si="3"/>
        <v>7.4099999999999993</v>
      </c>
      <c r="G14" s="168"/>
      <c r="H14" s="19">
        <f>E14/1000*51.9</f>
        <v>0.38924999999999998</v>
      </c>
      <c r="I14" s="16">
        <f t="shared" si="0"/>
        <v>75</v>
      </c>
      <c r="J14" s="156">
        <f t="shared" si="1"/>
        <v>74.099999999999994</v>
      </c>
      <c r="K14" s="91"/>
      <c r="L14" s="163"/>
      <c r="M14" s="91"/>
      <c r="N14" s="163"/>
      <c r="O14" s="91">
        <f>[11]Лист1!$C$14</f>
        <v>37.5</v>
      </c>
      <c r="P14" s="163">
        <f>[11]Лист1!$D$14</f>
        <v>37.049999999999997</v>
      </c>
      <c r="Q14" s="91"/>
      <c r="R14" s="163"/>
      <c r="S14" s="164"/>
      <c r="T14" s="165"/>
      <c r="U14" s="166"/>
      <c r="V14" s="167"/>
      <c r="W14" s="166"/>
      <c r="X14" s="167"/>
      <c r="Y14" s="166"/>
      <c r="Z14" s="167"/>
      <c r="AA14" s="166">
        <f>[32]Лист1!$C$14</f>
        <v>37.5</v>
      </c>
      <c r="AB14" s="167">
        <f>[32]Лист1!$D$14</f>
        <v>37.049999999999997</v>
      </c>
      <c r="AC14" s="91"/>
      <c r="AD14" s="163"/>
    </row>
    <row r="15" spans="1:30" ht="16.5" thickBot="1">
      <c r="B15" s="12" t="s">
        <v>23</v>
      </c>
      <c r="C15" s="132"/>
      <c r="D15" s="152"/>
      <c r="E15" s="153">
        <f t="shared" si="3"/>
        <v>0.8</v>
      </c>
      <c r="F15" s="154">
        <f t="shared" si="3"/>
        <v>0.8</v>
      </c>
      <c r="G15" s="168"/>
      <c r="H15" s="19">
        <f>E15/1000*119.2</f>
        <v>9.536E-2</v>
      </c>
      <c r="I15" s="16">
        <f t="shared" si="0"/>
        <v>8</v>
      </c>
      <c r="J15" s="156">
        <f t="shared" si="1"/>
        <v>8</v>
      </c>
      <c r="K15" s="91"/>
      <c r="L15" s="163"/>
      <c r="M15" s="91"/>
      <c r="N15" s="163"/>
      <c r="O15" s="91"/>
      <c r="P15" s="163"/>
      <c r="Q15" s="91"/>
      <c r="R15" s="163"/>
      <c r="S15" s="164"/>
      <c r="T15" s="165"/>
      <c r="U15" s="166"/>
      <c r="V15" s="167"/>
      <c r="W15" s="166"/>
      <c r="X15" s="167"/>
      <c r="Y15" s="166">
        <f>[29]Лист1!$C$15</f>
        <v>8</v>
      </c>
      <c r="Z15" s="167">
        <f>[29]Лист1!$D$15</f>
        <v>8</v>
      </c>
      <c r="AA15" s="166"/>
      <c r="AB15" s="167"/>
      <c r="AC15" s="91"/>
      <c r="AD15" s="163"/>
    </row>
    <row r="16" spans="1:30" ht="16.5" thickBot="1">
      <c r="B16" s="13" t="s">
        <v>24</v>
      </c>
      <c r="C16" s="117">
        <v>15</v>
      </c>
      <c r="D16" s="152">
        <f t="shared" si="2"/>
        <v>4.5</v>
      </c>
      <c r="E16" s="153">
        <f t="shared" si="3"/>
        <v>5.58</v>
      </c>
      <c r="F16" s="154">
        <f t="shared" si="3"/>
        <v>5.58</v>
      </c>
      <c r="G16" s="169">
        <f>F16*30/D16</f>
        <v>37.200000000000003</v>
      </c>
      <c r="H16" s="19">
        <f>E16/1000*66.5</f>
        <v>0.37107000000000001</v>
      </c>
      <c r="I16" s="16">
        <f t="shared" si="0"/>
        <v>55.8</v>
      </c>
      <c r="J16" s="156">
        <f t="shared" si="1"/>
        <v>55.8</v>
      </c>
      <c r="K16" s="91"/>
      <c r="L16" s="163"/>
      <c r="M16" s="91"/>
      <c r="N16" s="163"/>
      <c r="O16" s="91"/>
      <c r="P16" s="163"/>
      <c r="Q16" s="91"/>
      <c r="R16" s="163"/>
      <c r="S16" s="164"/>
      <c r="T16" s="165"/>
      <c r="U16" s="166"/>
      <c r="V16" s="167"/>
      <c r="W16" s="166"/>
      <c r="X16" s="167"/>
      <c r="Y16" s="166"/>
      <c r="Z16" s="167"/>
      <c r="AA16" s="166"/>
      <c r="AB16" s="167"/>
      <c r="AC16" s="91">
        <f>[39]Лист1!$C$24</f>
        <v>55.8</v>
      </c>
      <c r="AD16" s="163">
        <f>[39]Лист1!$C$24</f>
        <v>55.8</v>
      </c>
    </row>
    <row r="17" spans="2:30" ht="16.5" thickBot="1">
      <c r="B17" s="11" t="s">
        <v>25</v>
      </c>
      <c r="C17" s="117">
        <v>187</v>
      </c>
      <c r="D17" s="152">
        <f t="shared" si="2"/>
        <v>56.1</v>
      </c>
      <c r="E17" s="153">
        <f t="shared" si="3"/>
        <v>141.30309782608694</v>
      </c>
      <c r="F17" s="154">
        <f t="shared" si="3"/>
        <v>101.7593304347826</v>
      </c>
      <c r="G17" s="169">
        <f t="shared" ref="G17:G18" si="8">F17*30/D17</f>
        <v>54.416754243199243</v>
      </c>
      <c r="H17" s="19">
        <f>E17/1000*34</f>
        <v>4.8043053260869559</v>
      </c>
      <c r="I17" s="16">
        <f t="shared" si="0"/>
        <v>1413.0309782608695</v>
      </c>
      <c r="J17" s="156">
        <f t="shared" si="1"/>
        <v>1017.593304347826</v>
      </c>
      <c r="K17" s="91">
        <f>[40]Лист1!$C$13</f>
        <v>106.6</v>
      </c>
      <c r="L17" s="163">
        <f>[40]Лист1!$D$13</f>
        <v>79.94</v>
      </c>
      <c r="M17" s="91">
        <f>[41]Лист1!$C$27</f>
        <v>205.04347826086956</v>
      </c>
      <c r="N17" s="163">
        <f>[41]Лист1!$D$27</f>
        <v>153.39130434782609</v>
      </c>
      <c r="O17" s="91">
        <f>[42]Лист1!$C$26</f>
        <v>133.25</v>
      </c>
      <c r="P17" s="163">
        <f>[42]Лист1!$D$26</f>
        <v>99.924999999999997</v>
      </c>
      <c r="Q17" s="91">
        <f>[13]Лист1!$C$13</f>
        <v>120</v>
      </c>
      <c r="R17" s="163">
        <f>[13]Лист1!$D$13</f>
        <v>90</v>
      </c>
      <c r="S17" s="164">
        <f>[20]Лист1!$C$36</f>
        <v>232</v>
      </c>
      <c r="T17" s="165">
        <f>[20]Лист1!$D$36</f>
        <v>174</v>
      </c>
      <c r="U17" s="166">
        <f>[43]Лист1!$C$12+[22]Лист1!$C$26</f>
        <v>277.13749999999999</v>
      </c>
      <c r="V17" s="167">
        <f>[43]Лист1!$D$12+[22]Лист1!$D$26</f>
        <v>207.85499999999999</v>
      </c>
      <c r="W17" s="166">
        <f>[26]Лист1!$C$16</f>
        <v>165</v>
      </c>
      <c r="X17" s="167">
        <f>[26]Лист1!$D$16</f>
        <v>82.001999999999981</v>
      </c>
      <c r="Y17" s="166">
        <f>[44]Лист1!$C$14+[45]Лист1!$C$24</f>
        <v>87</v>
      </c>
      <c r="Z17" s="167">
        <f>[44]Лист1!$D$14+[45]Лист1!$D$24</f>
        <v>65.240000000000009</v>
      </c>
      <c r="AA17" s="166"/>
      <c r="AB17" s="167"/>
      <c r="AC17" s="91">
        <f>[44]Лист1!$C$14+[45]Лист1!$C$24</f>
        <v>87</v>
      </c>
      <c r="AD17" s="163">
        <f>[44]Лист1!$D$14+[45]Лист1!$D$24</f>
        <v>65.240000000000009</v>
      </c>
    </row>
    <row r="18" spans="2:30" ht="16.5" thickBot="1">
      <c r="B18" s="11" t="s">
        <v>26</v>
      </c>
      <c r="C18" s="117">
        <v>280</v>
      </c>
      <c r="D18" s="152">
        <f t="shared" si="2"/>
        <v>84</v>
      </c>
      <c r="E18" s="153">
        <f t="shared" si="3"/>
        <v>106.44879130434784</v>
      </c>
      <c r="F18" s="154">
        <f t="shared" si="3"/>
        <v>84.369037681159426</v>
      </c>
      <c r="G18" s="169">
        <f t="shared" si="8"/>
        <v>30.131799171842651</v>
      </c>
      <c r="H18" s="19"/>
      <c r="I18" s="16">
        <f t="shared" si="0"/>
        <v>1064.4879130434783</v>
      </c>
      <c r="J18" s="156">
        <f t="shared" si="1"/>
        <v>843.69037681159421</v>
      </c>
      <c r="K18" s="118">
        <f t="shared" ref="K18:L18" si="9">K19+K20+K21+K22+K23+K24+K25+K26+K27+K28+K29</f>
        <v>24.932000000000002</v>
      </c>
      <c r="L18" s="118">
        <f t="shared" si="9"/>
        <v>20.053333333333335</v>
      </c>
      <c r="M18" s="118">
        <f t="shared" ref="M18:AB18" si="10">M19+M20+M21+M22+M23+M24+M25+M26+M27+M28+M29</f>
        <v>115.77391304347826</v>
      </c>
      <c r="N18" s="118">
        <f t="shared" si="10"/>
        <v>103.93304347826087</v>
      </c>
      <c r="O18" s="118">
        <f t="shared" si="10"/>
        <v>35.33</v>
      </c>
      <c r="P18" s="118">
        <f t="shared" si="10"/>
        <v>29.25</v>
      </c>
      <c r="Q18" s="118">
        <f t="shared" si="10"/>
        <v>21.6</v>
      </c>
      <c r="R18" s="118">
        <f t="shared" si="10"/>
        <v>17.86</v>
      </c>
      <c r="S18" s="118">
        <f t="shared" si="10"/>
        <v>123.25</v>
      </c>
      <c r="T18" s="118">
        <f t="shared" si="10"/>
        <v>98.974999999999994</v>
      </c>
      <c r="U18" s="118">
        <f>U19+U20+U21+U22+U23+U24+U25+U26+U27+U28+U29</f>
        <v>201.6</v>
      </c>
      <c r="V18" s="118">
        <f>V19+V20+V21+V22+V23+V24+V25+V26+V27+V28+V29</f>
        <v>171.46</v>
      </c>
      <c r="W18" s="118">
        <f t="shared" si="10"/>
        <v>76.00200000000001</v>
      </c>
      <c r="X18" s="118">
        <f t="shared" si="10"/>
        <v>58.339000000000006</v>
      </c>
      <c r="Y18" s="118">
        <f>Y19+Y20+Y21+Y22+Y23+Y24+Y25+Y26+Y27+Y28+Y29</f>
        <v>242.4</v>
      </c>
      <c r="Z18" s="118">
        <f>Z19+Z20+Z21+Z22+Z23+Z24+Z25+Z26+Z27+Z28+Z29</f>
        <v>165.84</v>
      </c>
      <c r="AA18" s="118">
        <f t="shared" si="10"/>
        <v>101.2</v>
      </c>
      <c r="AB18" s="118">
        <f t="shared" si="10"/>
        <v>81.12</v>
      </c>
      <c r="AC18" s="118">
        <f>AC19+AC20+AC21+AC22+AC23+AC24+AC25+AC26+AC27+AC28+AC29</f>
        <v>122.4</v>
      </c>
      <c r="AD18" s="118">
        <f t="shared" ref="AD18" si="11">AD19+AD20+AD21+AD22+AD23+AD24+AD25+AD26+AD27+AD28+AD29</f>
        <v>96.86</v>
      </c>
    </row>
    <row r="19" spans="2:30" ht="16.5" thickBot="1">
      <c r="B19" s="12" t="s">
        <v>27</v>
      </c>
      <c r="C19" s="132"/>
      <c r="D19" s="152"/>
      <c r="E19" s="153">
        <f t="shared" si="3"/>
        <v>17.1252</v>
      </c>
      <c r="F19" s="154">
        <f t="shared" si="3"/>
        <v>13.1067</v>
      </c>
      <c r="G19" s="168"/>
      <c r="H19" s="19">
        <f>E19/1000*39.6</f>
        <v>0.67815792000000008</v>
      </c>
      <c r="I19" s="16">
        <f t="shared" si="0"/>
        <v>171.25199999999998</v>
      </c>
      <c r="J19" s="156">
        <f t="shared" si="1"/>
        <v>131.06700000000001</v>
      </c>
      <c r="K19" s="91">
        <f>[40]Лист1!$C$14</f>
        <v>10</v>
      </c>
      <c r="L19" s="163">
        <f>[40]Лист1!$D$14</f>
        <v>7.8</v>
      </c>
      <c r="M19" s="91">
        <f>[38]Лист1!$C$14+[46]Лист1!$C$26</f>
        <v>12</v>
      </c>
      <c r="N19" s="163">
        <f>[38]Лист1!$D$14+[46]Лист1!$D$26</f>
        <v>9.36</v>
      </c>
      <c r="O19" s="91">
        <f>[42]Лист1!$C$27</f>
        <v>12.5</v>
      </c>
      <c r="P19" s="163">
        <f>[42]Лист1!$D$27</f>
        <v>9.75</v>
      </c>
      <c r="Q19" s="91">
        <f>[13]Лист1!$C$14</f>
        <v>10</v>
      </c>
      <c r="R19" s="163">
        <f>[13]Лист1!$D$14</f>
        <v>7.8</v>
      </c>
      <c r="S19" s="164">
        <f>[47]Лист1!$C$40+[36]Лист1!$C$28</f>
        <v>15.75</v>
      </c>
      <c r="T19" s="165">
        <f>[47]Лист1!$D$40+[36]Лист1!$D$28</f>
        <v>12.275</v>
      </c>
      <c r="U19" s="166">
        <f>[22]Лист1!$C$29</f>
        <v>10</v>
      </c>
      <c r="V19" s="167">
        <f>[22]Лист1!$D$29</f>
        <v>7.8</v>
      </c>
      <c r="W19" s="166">
        <f>[38]Лист1!$C$14+[18]Лист1!$C$28+[26]Лист1!$C$17</f>
        <v>37.601999999999997</v>
      </c>
      <c r="X19" s="167">
        <f>[38]Лист1!$D$14+[18]Лист1!$D$28+[26]Лист1!$D$17</f>
        <v>28.821999999999999</v>
      </c>
      <c r="Y19" s="166">
        <f>[44]Лист1!$C$17+[46]Лист1!$C$26+[45]Лист1!$C$27</f>
        <v>24.199999999999996</v>
      </c>
      <c r="Z19" s="167">
        <f>[44]Лист1!$D$17+[46]Лист1!$D$26+[45]Лист1!$D$27</f>
        <v>18.82</v>
      </c>
      <c r="AA19" s="166">
        <f>[17]Лист1!$C$14+[18]Лист1!$C$29+[18]Лист1!$C$28</f>
        <v>15</v>
      </c>
      <c r="AB19" s="167">
        <f>[17]Лист1!$D$14+[18]Лист1!$D$28</f>
        <v>9.82</v>
      </c>
      <c r="AC19" s="91">
        <f>[44]Лист1!$C$17+[46]Лист1!$C$26+[45]Лист1!$C$27</f>
        <v>24.199999999999996</v>
      </c>
      <c r="AD19" s="163">
        <f>[44]Лист1!$D$17+[46]Лист1!$D$26+[45]Лист1!$D$27</f>
        <v>18.82</v>
      </c>
    </row>
    <row r="20" spans="2:30" ht="16.5" thickBot="1">
      <c r="B20" s="12" t="s">
        <v>28</v>
      </c>
      <c r="C20" s="132"/>
      <c r="D20" s="152"/>
      <c r="E20" s="153">
        <f t="shared" si="3"/>
        <v>18.164460869565215</v>
      </c>
      <c r="F20" s="154">
        <f t="shared" si="3"/>
        <v>14.704050724637682</v>
      </c>
      <c r="G20" s="168"/>
      <c r="H20" s="19">
        <f>E20/1000*35.4</f>
        <v>0.64302191478260862</v>
      </c>
      <c r="I20" s="16">
        <f t="shared" si="0"/>
        <v>181.64460869565215</v>
      </c>
      <c r="J20" s="156">
        <f t="shared" si="1"/>
        <v>147.04050724637682</v>
      </c>
      <c r="K20" s="91">
        <f>[40]Лист1!$C$15+[2]Лист1!$C$14</f>
        <v>12.932</v>
      </c>
      <c r="L20" s="163">
        <f>[40]Лист1!$D$15+[2]Лист1!$D$14</f>
        <v>10.253333333333334</v>
      </c>
      <c r="M20" s="91">
        <f>[38]Лист1!$C$15+[46]Лист1!$C$27+[41]Лист1!$C$30</f>
        <v>30.382608695652173</v>
      </c>
      <c r="N20" s="163">
        <f>[38]Лист1!$D$15+[46]Лист1!$D$27+[41]Лист1!$D$30</f>
        <v>25.332173913043476</v>
      </c>
      <c r="O20" s="91">
        <f>[42]Лист1!$C$28+[48]Лист1!$C$38</f>
        <v>20.329999999999998</v>
      </c>
      <c r="P20" s="163">
        <f>[42]Лист1!$D$28+[48]Лист1!$D$38</f>
        <v>17</v>
      </c>
      <c r="Q20" s="91">
        <f>[13]Лист1!$C$15</f>
        <v>9.6</v>
      </c>
      <c r="R20" s="163">
        <f>[13]Лист1!$D$15</f>
        <v>8.06</v>
      </c>
      <c r="S20" s="164">
        <f>[47]Лист1!$C$41+[36]Лист1!$C$29</f>
        <v>15</v>
      </c>
      <c r="T20" s="165">
        <f>[47]Лист1!$D$41+[36]Лист1!$D$29</f>
        <v>12.574999999999999</v>
      </c>
      <c r="U20" s="166">
        <f>[22]Лист1!$C$30</f>
        <v>9.6</v>
      </c>
      <c r="V20" s="167">
        <f>[22]Лист1!$D$30</f>
        <v>8.06</v>
      </c>
      <c r="W20" s="166">
        <f>[38]Лист1!$C$15+[18]Лист1!$C$29+[26]Лист1!$C$18</f>
        <v>27</v>
      </c>
      <c r="X20" s="167">
        <f>[38]Лист1!$D$15+[18]Лист1!$D$29+[26]Лист1!$D$18</f>
        <v>22</v>
      </c>
      <c r="Y20" s="166">
        <f>[44]Лист1!$C$18+[46]Лист1!$C$27+[29]Лист1!$C$14+[45]Лист1!$C$28</f>
        <v>35.6</v>
      </c>
      <c r="Z20" s="167">
        <f>[44]Лист1!$D$18+[46]Лист1!$D$27+[29]Лист1!$D$14+[45]Лист1!$D$28</f>
        <v>24.14</v>
      </c>
      <c r="AA20" s="166">
        <f>[17]Лист1!$C$15</f>
        <v>9.6</v>
      </c>
      <c r="AB20" s="167">
        <f>[17]Лист1!$D$15+[18]Лист1!$D$29</f>
        <v>10.06</v>
      </c>
      <c r="AC20" s="91">
        <f>[46]Лист1!$C$27+[45]Лист1!$C$28</f>
        <v>11.6</v>
      </c>
      <c r="AD20" s="163">
        <f>[46]Лист1!$D$26+[45]Лист1!$D$28</f>
        <v>9.56</v>
      </c>
    </row>
    <row r="21" spans="2:30" ht="16.5" thickBot="1">
      <c r="B21" s="12" t="s">
        <v>113</v>
      </c>
      <c r="C21" s="132"/>
      <c r="D21" s="152"/>
      <c r="E21" s="153">
        <f t="shared" si="3"/>
        <v>31.35</v>
      </c>
      <c r="F21" s="154">
        <f t="shared" si="3"/>
        <v>22.84</v>
      </c>
      <c r="G21" s="168"/>
      <c r="H21" s="19">
        <f>E21/1000*35.3</f>
        <v>1.1066549999999999</v>
      </c>
      <c r="I21" s="16">
        <f t="shared" si="0"/>
        <v>313.5</v>
      </c>
      <c r="J21" s="156">
        <f t="shared" si="1"/>
        <v>228.4</v>
      </c>
      <c r="K21" s="91"/>
      <c r="L21" s="163"/>
      <c r="M21" s="91"/>
      <c r="N21" s="163"/>
      <c r="O21" s="91"/>
      <c r="P21" s="163"/>
      <c r="Q21" s="91"/>
      <c r="R21" s="163"/>
      <c r="S21" s="164">
        <f>[36]Лист1!$C$27</f>
        <v>87.5</v>
      </c>
      <c r="T21" s="165">
        <f>[36]Лист1!$D$27</f>
        <v>70</v>
      </c>
      <c r="U21" s="166">
        <f>[22]Лист1!$C$27</f>
        <v>20</v>
      </c>
      <c r="V21" s="167">
        <f>[22]Лист1!$D$27</f>
        <v>16</v>
      </c>
      <c r="W21" s="166"/>
      <c r="X21" s="167"/>
      <c r="Y21" s="166">
        <f>[44]Лист1!$C$15+[29]Лист1!$C$12</f>
        <v>116</v>
      </c>
      <c r="Z21" s="167">
        <f>[44]Лист1!$D$15+[29]Лист1!$D$12</f>
        <v>70.400000000000006</v>
      </c>
      <c r="AA21" s="166">
        <f>[17]Лист1!$C$13</f>
        <v>70</v>
      </c>
      <c r="AB21" s="167">
        <f>[17]Лист1!$D$13</f>
        <v>56</v>
      </c>
      <c r="AC21" s="91">
        <f>[44]Лист1!$C$15</f>
        <v>20</v>
      </c>
      <c r="AD21" s="163">
        <f>[44]Лист1!$D$15</f>
        <v>16</v>
      </c>
    </row>
    <row r="22" spans="2:30" ht="16.5" thickBot="1">
      <c r="B22" s="12" t="s">
        <v>114</v>
      </c>
      <c r="C22" s="132"/>
      <c r="D22" s="152"/>
      <c r="E22" s="153">
        <f t="shared" si="3"/>
        <v>3.84</v>
      </c>
      <c r="F22" s="154">
        <f t="shared" si="3"/>
        <v>2.6879999999999997</v>
      </c>
      <c r="G22" s="168"/>
      <c r="H22" s="19">
        <f>E22/1000*120.3</f>
        <v>0.46195199999999997</v>
      </c>
      <c r="I22" s="16">
        <f t="shared" si="0"/>
        <v>38.4</v>
      </c>
      <c r="J22" s="156">
        <f t="shared" si="1"/>
        <v>26.88</v>
      </c>
      <c r="K22" s="91"/>
      <c r="L22" s="163"/>
      <c r="M22" s="91"/>
      <c r="N22" s="163"/>
      <c r="O22" s="91"/>
      <c r="P22" s="163"/>
      <c r="Q22" s="91"/>
      <c r="R22" s="163"/>
      <c r="S22" s="164"/>
      <c r="T22" s="165"/>
      <c r="U22" s="166"/>
      <c r="V22" s="167"/>
      <c r="W22" s="166"/>
      <c r="X22" s="167"/>
      <c r="Y22" s="166">
        <f>[45]Лист1!$C$26</f>
        <v>19.2</v>
      </c>
      <c r="Z22" s="167">
        <f>[45]Лист1!$D$26</f>
        <v>13.44</v>
      </c>
      <c r="AA22" s="166"/>
      <c r="AB22" s="167"/>
      <c r="AC22" s="91">
        <f>[45]Лист1!$C$26</f>
        <v>19.2</v>
      </c>
      <c r="AD22" s="163">
        <f>[45]Лист1!$D$26</f>
        <v>13.44</v>
      </c>
    </row>
    <row r="23" spans="2:30" ht="16.5" thickBot="1">
      <c r="B23" s="12" t="s">
        <v>124</v>
      </c>
      <c r="C23" s="132"/>
      <c r="D23" s="152"/>
      <c r="E23" s="153">
        <f t="shared" si="3"/>
        <v>0</v>
      </c>
      <c r="F23" s="154">
        <f t="shared" si="3"/>
        <v>0</v>
      </c>
      <c r="G23" s="168"/>
      <c r="H23" s="19">
        <f>E23/1000*135</f>
        <v>0</v>
      </c>
      <c r="I23" s="16">
        <f t="shared" si="0"/>
        <v>0</v>
      </c>
      <c r="J23" s="156">
        <f t="shared" si="1"/>
        <v>0</v>
      </c>
      <c r="K23" s="91"/>
      <c r="L23" s="163"/>
      <c r="M23" s="91"/>
      <c r="N23" s="163"/>
      <c r="O23" s="91"/>
      <c r="P23" s="163"/>
      <c r="Q23" s="91"/>
      <c r="R23" s="163"/>
      <c r="S23" s="164"/>
      <c r="T23" s="165"/>
      <c r="U23" s="166"/>
      <c r="V23" s="167"/>
      <c r="W23" s="166"/>
      <c r="X23" s="167"/>
      <c r="Y23" s="166"/>
      <c r="Z23" s="167"/>
      <c r="AA23" s="166"/>
      <c r="AB23" s="167"/>
      <c r="AC23" s="91"/>
      <c r="AD23" s="163"/>
    </row>
    <row r="24" spans="2:30" ht="16.5" thickBot="1">
      <c r="B24" s="12" t="s">
        <v>138</v>
      </c>
      <c r="C24" s="132"/>
      <c r="D24" s="152"/>
      <c r="E24" s="153">
        <f t="shared" si="3"/>
        <v>0</v>
      </c>
      <c r="F24" s="154">
        <f t="shared" si="3"/>
        <v>0</v>
      </c>
      <c r="G24" s="168"/>
      <c r="H24" s="19">
        <f>E24/1000*154.3</f>
        <v>0</v>
      </c>
      <c r="I24" s="16">
        <f t="shared" si="0"/>
        <v>0</v>
      </c>
      <c r="J24" s="156">
        <f t="shared" si="1"/>
        <v>0</v>
      </c>
      <c r="K24" s="91"/>
      <c r="L24" s="163"/>
      <c r="M24" s="91"/>
      <c r="N24" s="163"/>
      <c r="O24" s="91"/>
      <c r="P24" s="163"/>
      <c r="Q24" s="91"/>
      <c r="R24" s="163"/>
      <c r="S24" s="164"/>
      <c r="T24" s="165"/>
      <c r="U24" s="166"/>
      <c r="V24" s="167"/>
      <c r="W24" s="166"/>
      <c r="X24" s="167"/>
      <c r="Y24" s="166"/>
      <c r="Z24" s="167"/>
      <c r="AA24" s="166"/>
      <c r="AB24" s="167"/>
      <c r="AC24" s="91"/>
      <c r="AD24" s="163"/>
    </row>
    <row r="25" spans="2:30" ht="16.5" thickBot="1">
      <c r="B25" s="12" t="s">
        <v>29</v>
      </c>
      <c r="C25" s="132"/>
      <c r="D25" s="152"/>
      <c r="E25" s="153">
        <f t="shared" si="3"/>
        <v>15.2</v>
      </c>
      <c r="F25" s="154">
        <f t="shared" si="3"/>
        <v>12.16</v>
      </c>
      <c r="G25" s="168"/>
      <c r="H25" s="19">
        <f>E25/1000*35.6</f>
        <v>0.54112000000000005</v>
      </c>
      <c r="I25" s="16">
        <f t="shared" si="0"/>
        <v>152</v>
      </c>
      <c r="J25" s="156">
        <f t="shared" si="1"/>
        <v>121.6</v>
      </c>
      <c r="K25" s="91"/>
      <c r="L25" s="163"/>
      <c r="M25" s="91"/>
      <c r="N25" s="163"/>
      <c r="O25" s="91"/>
      <c r="P25" s="163"/>
      <c r="Q25" s="91"/>
      <c r="R25" s="163"/>
      <c r="S25" s="164"/>
      <c r="T25" s="165"/>
      <c r="U25" s="166">
        <f>[49]Лист1!$C$12</f>
        <v>72</v>
      </c>
      <c r="V25" s="167">
        <f>[49]Лист1!$D$12</f>
        <v>57.6</v>
      </c>
      <c r="W25" s="166"/>
      <c r="X25" s="167"/>
      <c r="Y25" s="166">
        <f>[44]Лист1!$C$13</f>
        <v>40</v>
      </c>
      <c r="Z25" s="167">
        <f>[44]Лист1!$D$13</f>
        <v>32</v>
      </c>
      <c r="AA25" s="166"/>
      <c r="AB25" s="167"/>
      <c r="AC25" s="91">
        <f>[44]Лист1!$C$13</f>
        <v>40</v>
      </c>
      <c r="AD25" s="163">
        <f>[44]Лист1!$D$13</f>
        <v>32</v>
      </c>
    </row>
    <row r="26" spans="2:30" ht="16.5" thickBot="1">
      <c r="B26" s="12" t="s">
        <v>30</v>
      </c>
      <c r="C26" s="132"/>
      <c r="D26" s="152"/>
      <c r="E26" s="153">
        <f t="shared" si="3"/>
        <v>3.6591304347826084</v>
      </c>
      <c r="F26" s="154">
        <f t="shared" si="3"/>
        <v>3.1462869565217391</v>
      </c>
      <c r="G26" s="168"/>
      <c r="H26" s="19">
        <f>E26/1000*160.1</f>
        <v>0.58582678260869558</v>
      </c>
      <c r="I26" s="16">
        <f t="shared" si="0"/>
        <v>36.591304347826082</v>
      </c>
      <c r="J26" s="156">
        <f t="shared" si="1"/>
        <v>31.462869565217389</v>
      </c>
      <c r="K26" s="91">
        <f>[40]Лист1!$C$17</f>
        <v>2</v>
      </c>
      <c r="L26" s="163">
        <f>[40]Лист1!$D$17</f>
        <v>2</v>
      </c>
      <c r="M26" s="91">
        <f>[41]Лист1!$C$31</f>
        <v>9.3913043478260878</v>
      </c>
      <c r="N26" s="163">
        <f>[41]Лист1!$D$31</f>
        <v>6.2608695652173916</v>
      </c>
      <c r="O26" s="91">
        <f>[42]Лист1!$C$30</f>
        <v>2.5</v>
      </c>
      <c r="P26" s="163">
        <f>[42]Лист1!$D$30</f>
        <v>2.5</v>
      </c>
      <c r="Q26" s="91">
        <f>[13]Лист1!$C$16</f>
        <v>2</v>
      </c>
      <c r="R26" s="163">
        <f>[13]Лист1!$D$16</f>
        <v>2</v>
      </c>
      <c r="S26" s="164">
        <f>[36]Лист1!$C$34</f>
        <v>1.5</v>
      </c>
      <c r="T26" s="165">
        <f>[36]Лист1!$D$34</f>
        <v>1.5</v>
      </c>
      <c r="U26" s="166"/>
      <c r="V26" s="167"/>
      <c r="W26" s="166">
        <f>[26]Лист1!$C$19</f>
        <v>6</v>
      </c>
      <c r="X26" s="167">
        <f>[26]Лист1!$D$19</f>
        <v>4.0019999999999998</v>
      </c>
      <c r="Y26" s="166">
        <f>[44]Лист1!$C$19</f>
        <v>6</v>
      </c>
      <c r="Z26" s="167">
        <f>[44]Лист1!$D$19</f>
        <v>6</v>
      </c>
      <c r="AA26" s="166">
        <f>[17]Лист1!$C$20</f>
        <v>1.2</v>
      </c>
      <c r="AB26" s="167">
        <f>[17]Лист1!$D$20</f>
        <v>1.2</v>
      </c>
      <c r="AC26" s="91">
        <f>[44]Лист1!$C$19</f>
        <v>6</v>
      </c>
      <c r="AD26" s="163">
        <f>[44]Лист1!$C$19</f>
        <v>6</v>
      </c>
    </row>
    <row r="27" spans="2:30" ht="16.5" thickBot="1">
      <c r="B27" s="12" t="s">
        <v>31</v>
      </c>
      <c r="C27" s="132"/>
      <c r="D27" s="152"/>
      <c r="E27" s="153">
        <f t="shared" si="3"/>
        <v>2</v>
      </c>
      <c r="F27" s="154">
        <f t="shared" si="3"/>
        <v>1.2</v>
      </c>
      <c r="G27" s="168"/>
      <c r="H27" s="19">
        <f>E27/1000*209.2</f>
        <v>0.41839999999999999</v>
      </c>
      <c r="I27" s="16">
        <f t="shared" si="0"/>
        <v>20</v>
      </c>
      <c r="J27" s="156">
        <f t="shared" si="1"/>
        <v>12</v>
      </c>
      <c r="K27" s="91"/>
      <c r="L27" s="163"/>
      <c r="M27" s="91"/>
      <c r="N27" s="163"/>
      <c r="O27" s="91"/>
      <c r="P27" s="163"/>
      <c r="Q27" s="91"/>
      <c r="R27" s="163"/>
      <c r="S27" s="164"/>
      <c r="T27" s="165"/>
      <c r="U27" s="166">
        <f>[22]Лист1!$C$28</f>
        <v>20</v>
      </c>
      <c r="V27" s="167">
        <f>[22]Лист1!$D$28</f>
        <v>12</v>
      </c>
      <c r="W27" s="166"/>
      <c r="X27" s="167"/>
      <c r="Y27" s="166"/>
      <c r="Z27" s="167"/>
      <c r="AA27" s="166"/>
      <c r="AB27" s="167"/>
      <c r="AC27" s="91"/>
      <c r="AD27" s="163"/>
    </row>
    <row r="28" spans="2:30" ht="16.5" thickBot="1">
      <c r="B28" s="12" t="s">
        <v>32</v>
      </c>
      <c r="C28" s="132"/>
      <c r="D28" s="152"/>
      <c r="E28" s="153">
        <f t="shared" si="3"/>
        <v>13</v>
      </c>
      <c r="F28" s="154">
        <f t="shared" si="3"/>
        <v>13</v>
      </c>
      <c r="G28" s="168"/>
      <c r="H28" s="19">
        <f>E28/1000*129.8</f>
        <v>1.6874</v>
      </c>
      <c r="I28" s="16">
        <f t="shared" si="0"/>
        <v>130</v>
      </c>
      <c r="J28" s="156">
        <f t="shared" si="1"/>
        <v>130</v>
      </c>
      <c r="K28" s="91"/>
      <c r="L28" s="163"/>
      <c r="M28" s="91">
        <f>'2 день'!D6</f>
        <v>60</v>
      </c>
      <c r="N28" s="163">
        <f>'2 день'!D6</f>
        <v>60</v>
      </c>
      <c r="O28" s="91"/>
      <c r="P28" s="163"/>
      <c r="Q28" s="91"/>
      <c r="R28" s="163"/>
      <c r="S28" s="164"/>
      <c r="T28" s="165"/>
      <c r="U28" s="166">
        <f>[23]Лист1!$C$12</f>
        <v>70</v>
      </c>
      <c r="V28" s="167">
        <f>[23]Лист1!$D$12</f>
        <v>70</v>
      </c>
      <c r="W28" s="166"/>
      <c r="X28" s="167"/>
      <c r="Y28" s="166"/>
      <c r="Z28" s="167"/>
      <c r="AA28" s="166"/>
      <c r="AB28" s="167"/>
      <c r="AC28" s="91"/>
      <c r="AD28" s="163"/>
    </row>
    <row r="29" spans="2:30" ht="16.5" thickBot="1">
      <c r="B29" s="12" t="s">
        <v>33</v>
      </c>
      <c r="C29" s="132"/>
      <c r="D29" s="152"/>
      <c r="E29" s="153">
        <f t="shared" si="3"/>
        <v>2.1100000000000003</v>
      </c>
      <c r="F29" s="154">
        <f t="shared" si="3"/>
        <v>1.5239999999999998</v>
      </c>
      <c r="G29" s="168"/>
      <c r="H29" s="19">
        <f>E29/1000*0</f>
        <v>0</v>
      </c>
      <c r="I29" s="16">
        <f t="shared" si="0"/>
        <v>21.1</v>
      </c>
      <c r="J29" s="156">
        <f t="shared" si="1"/>
        <v>15.239999999999998</v>
      </c>
      <c r="K29" s="91"/>
      <c r="L29" s="163"/>
      <c r="M29" s="91">
        <f>[38]Лист1!$C$17+[46]Лист1!$C$28</f>
        <v>4</v>
      </c>
      <c r="N29" s="163">
        <f>[38]Лист1!$D$17+[46]Лист1!$D$28</f>
        <v>2.98</v>
      </c>
      <c r="O29" s="91"/>
      <c r="P29" s="163"/>
      <c r="Q29" s="91"/>
      <c r="R29" s="163"/>
      <c r="S29" s="164">
        <f>[47]Лист1!$C$39</f>
        <v>3.5</v>
      </c>
      <c r="T29" s="165">
        <f>[47]Лист1!$D$39</f>
        <v>2.625</v>
      </c>
      <c r="U29" s="166"/>
      <c r="V29" s="167"/>
      <c r="W29" s="166">
        <f>[38]Лист1!$C$17+[18]Лист1!$C$27</f>
        <v>5.4</v>
      </c>
      <c r="X29" s="167">
        <f>[38]Лист1!$D$17+[18]Лист1!$D$15</f>
        <v>3.5149999999999997</v>
      </c>
      <c r="Y29" s="166">
        <f>[46]Лист1!$C$28</f>
        <v>1.4</v>
      </c>
      <c r="Z29" s="167">
        <f>[46]Лист1!$D$28</f>
        <v>1.04</v>
      </c>
      <c r="AA29" s="166">
        <f>[17]Лист1!$C$17+[18]Лист1!$C$27</f>
        <v>5.4</v>
      </c>
      <c r="AB29" s="167">
        <f>[17]Лист1!$D$17+[18]Лист1!$D$27</f>
        <v>4.04</v>
      </c>
      <c r="AC29" s="91">
        <f>[46]Лист1!$C$28</f>
        <v>1.4</v>
      </c>
      <c r="AD29" s="163">
        <f>[46]Лист1!$D$28</f>
        <v>1.04</v>
      </c>
    </row>
    <row r="30" spans="2:30" ht="16.5" thickBot="1">
      <c r="B30" s="11" t="s">
        <v>34</v>
      </c>
      <c r="C30" s="117">
        <v>185</v>
      </c>
      <c r="D30" s="152">
        <f t="shared" si="2"/>
        <v>55.5</v>
      </c>
      <c r="E30" s="153">
        <f t="shared" si="3"/>
        <v>34.200000000000003</v>
      </c>
      <c r="F30" s="154">
        <f t="shared" si="3"/>
        <v>30</v>
      </c>
      <c r="G30" s="169">
        <f>F30*30/D30</f>
        <v>16.216216216216218</v>
      </c>
      <c r="H30" s="19"/>
      <c r="I30" s="16">
        <f t="shared" si="0"/>
        <v>342</v>
      </c>
      <c r="J30" s="156">
        <f t="shared" si="1"/>
        <v>300</v>
      </c>
      <c r="K30" s="118">
        <f t="shared" ref="K30:L30" si="12">K31+K32+K33+K35+K36+K37+K34</f>
        <v>114</v>
      </c>
      <c r="L30" s="118">
        <f t="shared" si="12"/>
        <v>100</v>
      </c>
      <c r="M30" s="118">
        <f t="shared" ref="M30:AB30" si="13">M31+M32+M33+M35+M36+M37+M34</f>
        <v>0</v>
      </c>
      <c r="N30" s="118">
        <f t="shared" si="13"/>
        <v>0</v>
      </c>
      <c r="O30" s="118">
        <f t="shared" si="13"/>
        <v>114</v>
      </c>
      <c r="P30" s="118">
        <f t="shared" si="13"/>
        <v>100</v>
      </c>
      <c r="Q30" s="118">
        <f t="shared" si="13"/>
        <v>0</v>
      </c>
      <c r="R30" s="118">
        <f t="shared" si="13"/>
        <v>0</v>
      </c>
      <c r="S30" s="118">
        <f t="shared" si="13"/>
        <v>0</v>
      </c>
      <c r="T30" s="118">
        <f t="shared" si="13"/>
        <v>0</v>
      </c>
      <c r="U30" s="118">
        <f>U31+U32+U33+U35+U36+U37+U34</f>
        <v>0</v>
      </c>
      <c r="V30" s="118">
        <f>V31+V32+V33+V35+V36+V37+V34</f>
        <v>0</v>
      </c>
      <c r="W30" s="118">
        <f t="shared" si="13"/>
        <v>114</v>
      </c>
      <c r="X30" s="118">
        <f t="shared" si="13"/>
        <v>100</v>
      </c>
      <c r="Y30" s="118">
        <f>Y31+Y32+Y33+Y35+Y36+Y37+Y34</f>
        <v>0</v>
      </c>
      <c r="Z30" s="118">
        <f>Z31+Z32+Z33+Z35+Z36+Z37+Z34</f>
        <v>0</v>
      </c>
      <c r="AA30" s="118">
        <f t="shared" si="13"/>
        <v>0</v>
      </c>
      <c r="AB30" s="118">
        <f t="shared" si="13"/>
        <v>0</v>
      </c>
      <c r="AC30" s="118">
        <f>AC31+AC32+AC33+AC35+AC36+AC37+AC34</f>
        <v>0</v>
      </c>
      <c r="AD30" s="118">
        <f t="shared" ref="AD30" si="14">AD31+AD32+AD33+AD35+AD36+AD37+AD34</f>
        <v>0</v>
      </c>
    </row>
    <row r="31" spans="2:30" ht="16.5" thickBot="1">
      <c r="B31" s="21" t="s">
        <v>94</v>
      </c>
      <c r="C31" s="132"/>
      <c r="D31" s="152"/>
      <c r="E31" s="153">
        <f t="shared" si="3"/>
        <v>0</v>
      </c>
      <c r="F31" s="154">
        <f t="shared" si="3"/>
        <v>0</v>
      </c>
      <c r="G31" s="168"/>
      <c r="H31" s="19">
        <f>E31/1000*156.3</f>
        <v>0</v>
      </c>
      <c r="I31" s="16">
        <f t="shared" si="0"/>
        <v>0</v>
      </c>
      <c r="J31" s="156">
        <f t="shared" si="1"/>
        <v>0</v>
      </c>
      <c r="K31" s="91"/>
      <c r="L31" s="163"/>
      <c r="M31" s="91"/>
      <c r="N31" s="163"/>
      <c r="O31" s="91"/>
      <c r="P31" s="163"/>
      <c r="Q31" s="91"/>
      <c r="R31" s="163"/>
      <c r="S31" s="164"/>
      <c r="T31" s="165"/>
      <c r="U31" s="166"/>
      <c r="V31" s="167"/>
      <c r="W31" s="166"/>
      <c r="X31" s="167"/>
      <c r="Y31" s="166"/>
      <c r="Z31" s="167"/>
      <c r="AA31" s="166"/>
      <c r="AB31" s="167"/>
      <c r="AC31" s="91"/>
      <c r="AD31" s="163"/>
    </row>
    <row r="32" spans="2:30" ht="16.5" thickBot="1">
      <c r="B32" s="21" t="s">
        <v>95</v>
      </c>
      <c r="C32" s="132"/>
      <c r="D32" s="152"/>
      <c r="E32" s="153">
        <f t="shared" si="3"/>
        <v>0</v>
      </c>
      <c r="F32" s="154">
        <f t="shared" si="3"/>
        <v>0</v>
      </c>
      <c r="G32" s="168"/>
      <c r="H32" s="19">
        <f>E32/1000*140.1</f>
        <v>0</v>
      </c>
      <c r="I32" s="16">
        <f t="shared" si="0"/>
        <v>0</v>
      </c>
      <c r="J32" s="156">
        <f t="shared" si="1"/>
        <v>0</v>
      </c>
      <c r="K32" s="91"/>
      <c r="L32" s="163"/>
      <c r="M32" s="91"/>
      <c r="N32" s="163"/>
      <c r="O32" s="91"/>
      <c r="P32" s="163"/>
      <c r="Q32" s="91"/>
      <c r="R32" s="163"/>
      <c r="S32" s="164"/>
      <c r="T32" s="165"/>
      <c r="U32" s="166"/>
      <c r="V32" s="167"/>
      <c r="W32" s="166"/>
      <c r="X32" s="167"/>
      <c r="Y32" s="166"/>
      <c r="Z32" s="167"/>
      <c r="AA32" s="166"/>
      <c r="AB32" s="167"/>
      <c r="AC32" s="91"/>
      <c r="AD32" s="163"/>
    </row>
    <row r="33" spans="2:30" ht="16.5" thickBot="1">
      <c r="B33" s="21" t="s">
        <v>96</v>
      </c>
      <c r="C33" s="132"/>
      <c r="D33" s="152"/>
      <c r="E33" s="153">
        <f t="shared" si="3"/>
        <v>0</v>
      </c>
      <c r="F33" s="154">
        <f t="shared" si="3"/>
        <v>0</v>
      </c>
      <c r="G33" s="168"/>
      <c r="H33" s="19">
        <f>E33/1000*203.1</f>
        <v>0</v>
      </c>
      <c r="I33" s="16">
        <f t="shared" si="0"/>
        <v>0</v>
      </c>
      <c r="J33" s="156">
        <f t="shared" si="1"/>
        <v>0</v>
      </c>
      <c r="K33" s="91"/>
      <c r="L33" s="163"/>
      <c r="M33" s="91"/>
      <c r="N33" s="163"/>
      <c r="O33" s="91"/>
      <c r="P33" s="163"/>
      <c r="Q33" s="91"/>
      <c r="R33" s="163"/>
      <c r="S33" s="164"/>
      <c r="T33" s="165"/>
      <c r="U33" s="166"/>
      <c r="V33" s="167"/>
      <c r="W33" s="166"/>
      <c r="X33" s="167"/>
      <c r="Y33" s="166"/>
      <c r="Z33" s="167"/>
      <c r="AA33" s="166"/>
      <c r="AB33" s="167"/>
      <c r="AC33" s="91"/>
      <c r="AD33" s="163"/>
    </row>
    <row r="34" spans="2:30" ht="16.5" thickBot="1">
      <c r="B34" s="21" t="s">
        <v>139</v>
      </c>
      <c r="C34" s="132"/>
      <c r="D34" s="152"/>
      <c r="E34" s="153">
        <f t="shared" si="3"/>
        <v>0</v>
      </c>
      <c r="F34" s="154">
        <f t="shared" si="3"/>
        <v>0</v>
      </c>
      <c r="G34" s="168"/>
      <c r="H34" s="19">
        <f>E34/1000*288.3</f>
        <v>0</v>
      </c>
      <c r="I34" s="16">
        <f t="shared" si="0"/>
        <v>0</v>
      </c>
      <c r="J34" s="156">
        <f t="shared" si="1"/>
        <v>0</v>
      </c>
      <c r="K34" s="91"/>
      <c r="L34" s="163"/>
      <c r="M34" s="91"/>
      <c r="N34" s="163"/>
      <c r="O34" s="91"/>
      <c r="P34" s="163"/>
      <c r="Q34" s="91"/>
      <c r="R34" s="163"/>
      <c r="S34" s="164"/>
      <c r="T34" s="165"/>
      <c r="U34" s="166"/>
      <c r="V34" s="167"/>
      <c r="W34" s="166"/>
      <c r="X34" s="167"/>
      <c r="Y34" s="166"/>
      <c r="Z34" s="167"/>
      <c r="AA34" s="166"/>
      <c r="AB34" s="167"/>
      <c r="AC34" s="91"/>
      <c r="AD34" s="163"/>
    </row>
    <row r="35" spans="2:30" ht="16.5" thickBot="1">
      <c r="B35" s="21" t="s">
        <v>97</v>
      </c>
      <c r="C35" s="132"/>
      <c r="D35" s="152"/>
      <c r="E35" s="153">
        <f t="shared" si="3"/>
        <v>0</v>
      </c>
      <c r="F35" s="154">
        <f t="shared" si="3"/>
        <v>0</v>
      </c>
      <c r="G35" s="168"/>
      <c r="H35" s="19">
        <f>E35/1000*169</f>
        <v>0</v>
      </c>
      <c r="I35" s="16">
        <f t="shared" si="0"/>
        <v>0</v>
      </c>
      <c r="J35" s="156">
        <f t="shared" si="1"/>
        <v>0</v>
      </c>
      <c r="K35" s="91"/>
      <c r="L35" s="163"/>
      <c r="M35" s="91"/>
      <c r="N35" s="163"/>
      <c r="O35" s="91"/>
      <c r="P35" s="163"/>
      <c r="Q35" s="91"/>
      <c r="R35" s="163"/>
      <c r="S35" s="164"/>
      <c r="T35" s="165"/>
      <c r="U35" s="166"/>
      <c r="V35" s="167"/>
      <c r="W35" s="166"/>
      <c r="X35" s="167"/>
      <c r="Y35" s="166"/>
      <c r="Z35" s="167"/>
      <c r="AA35" s="166"/>
      <c r="AB35" s="167"/>
      <c r="AC35" s="91"/>
      <c r="AD35" s="163"/>
    </row>
    <row r="36" spans="2:30" ht="16.5" thickBot="1">
      <c r="B36" s="21" t="s">
        <v>98</v>
      </c>
      <c r="C36" s="132"/>
      <c r="D36" s="152"/>
      <c r="E36" s="153">
        <f t="shared" si="3"/>
        <v>0</v>
      </c>
      <c r="F36" s="154">
        <f t="shared" si="3"/>
        <v>0</v>
      </c>
      <c r="G36" s="168"/>
      <c r="H36" s="19">
        <f>E36/1000*155.6</f>
        <v>0</v>
      </c>
      <c r="I36" s="16">
        <f t="shared" ref="I36:I68" si="15">K36+M36+O36+Q36+S36+Y36+W36+U36+AA36+AC36</f>
        <v>0</v>
      </c>
      <c r="J36" s="156">
        <f t="shared" ref="J36:J68" si="16">L36+N36+P36+R36+T36+Z36+X36+V36+AB36+AD36</f>
        <v>0</v>
      </c>
      <c r="K36" s="91"/>
      <c r="L36" s="163"/>
      <c r="M36" s="91"/>
      <c r="N36" s="163"/>
      <c r="O36" s="91"/>
      <c r="P36" s="163"/>
      <c r="Q36" s="91"/>
      <c r="R36" s="163"/>
      <c r="S36" s="164"/>
      <c r="T36" s="165"/>
      <c r="U36" s="166"/>
      <c r="V36" s="167"/>
      <c r="W36" s="166"/>
      <c r="X36" s="167"/>
      <c r="Y36" s="166"/>
      <c r="Z36" s="167"/>
      <c r="AA36" s="166"/>
      <c r="AB36" s="167"/>
      <c r="AC36" s="91"/>
      <c r="AD36" s="163"/>
    </row>
    <row r="37" spans="2:30" ht="16.5" thickBot="1">
      <c r="B37" s="21" t="s">
        <v>99</v>
      </c>
      <c r="C37" s="132"/>
      <c r="D37" s="152"/>
      <c r="E37" s="153">
        <f t="shared" si="3"/>
        <v>34.200000000000003</v>
      </c>
      <c r="F37" s="154">
        <f t="shared" si="3"/>
        <v>30</v>
      </c>
      <c r="G37" s="168"/>
      <c r="H37" s="19">
        <f>E37/1000*123.8</f>
        <v>4.2339599999999997</v>
      </c>
      <c r="I37" s="16">
        <f t="shared" si="15"/>
        <v>342</v>
      </c>
      <c r="J37" s="156">
        <f t="shared" si="16"/>
        <v>300</v>
      </c>
      <c r="K37" s="91">
        <f>[50]Лист1!$C$16</f>
        <v>114</v>
      </c>
      <c r="L37" s="163">
        <f>[50]Лист1!$D$16</f>
        <v>100</v>
      </c>
      <c r="M37" s="91"/>
      <c r="N37" s="163"/>
      <c r="O37" s="91">
        <f>[50]Лист1!$C$16</f>
        <v>114</v>
      </c>
      <c r="P37" s="163">
        <f>[50]Лист1!$D$16</f>
        <v>100</v>
      </c>
      <c r="Q37" s="91"/>
      <c r="R37" s="163"/>
      <c r="S37" s="164"/>
      <c r="T37" s="165"/>
      <c r="U37" s="166"/>
      <c r="V37" s="167"/>
      <c r="W37" s="166">
        <f>[50]Лист1!$C$16</f>
        <v>114</v>
      </c>
      <c r="X37" s="167">
        <f>[50]Лист1!$D$16</f>
        <v>100</v>
      </c>
      <c r="Y37" s="166"/>
      <c r="Z37" s="167"/>
      <c r="AA37" s="166"/>
      <c r="AB37" s="167"/>
      <c r="AC37" s="91"/>
      <c r="AD37" s="163"/>
    </row>
    <row r="38" spans="2:30" ht="16.5" thickBot="1">
      <c r="B38" s="11" t="s">
        <v>35</v>
      </c>
      <c r="C38" s="117">
        <v>15</v>
      </c>
      <c r="D38" s="152">
        <f t="shared" si="2"/>
        <v>4.5</v>
      </c>
      <c r="E38" s="153">
        <f t="shared" si="3"/>
        <v>5.8</v>
      </c>
      <c r="F38" s="154">
        <f t="shared" si="3"/>
        <v>5.8</v>
      </c>
      <c r="G38" s="169">
        <f>F38*30/D38</f>
        <v>38.666666666666664</v>
      </c>
      <c r="H38" s="19"/>
      <c r="I38" s="16">
        <f t="shared" si="15"/>
        <v>58</v>
      </c>
      <c r="J38" s="156">
        <f t="shared" si="16"/>
        <v>58</v>
      </c>
      <c r="K38" s="118">
        <f t="shared" ref="K38:L38" si="17">K39+K40+K41+K42</f>
        <v>0</v>
      </c>
      <c r="L38" s="118">
        <f t="shared" si="17"/>
        <v>0</v>
      </c>
      <c r="M38" s="118">
        <f t="shared" ref="M38:AB38" si="18">M39+M40+M41+M42</f>
        <v>0</v>
      </c>
      <c r="N38" s="118">
        <f t="shared" si="18"/>
        <v>0</v>
      </c>
      <c r="O38" s="118">
        <f t="shared" si="18"/>
        <v>20</v>
      </c>
      <c r="P38" s="118">
        <f t="shared" si="18"/>
        <v>20</v>
      </c>
      <c r="Q38" s="118">
        <f t="shared" si="18"/>
        <v>0</v>
      </c>
      <c r="R38" s="118">
        <f t="shared" si="18"/>
        <v>0</v>
      </c>
      <c r="S38" s="118">
        <f t="shared" si="18"/>
        <v>20</v>
      </c>
      <c r="T38" s="118">
        <f t="shared" si="18"/>
        <v>20</v>
      </c>
      <c r="U38" s="118">
        <f>U39+U40+U41+U42</f>
        <v>18</v>
      </c>
      <c r="V38" s="118">
        <f>V39+V40+V41+V42</f>
        <v>18</v>
      </c>
      <c r="W38" s="118">
        <f t="shared" si="18"/>
        <v>0</v>
      </c>
      <c r="X38" s="118">
        <f t="shared" si="18"/>
        <v>0</v>
      </c>
      <c r="Y38" s="118">
        <f>Y39+Y40+Y41+Y42</f>
        <v>0</v>
      </c>
      <c r="Z38" s="118">
        <f>Z39+Z40+Z41+Z42</f>
        <v>0</v>
      </c>
      <c r="AA38" s="118">
        <f t="shared" si="18"/>
        <v>0</v>
      </c>
      <c r="AB38" s="118">
        <f t="shared" si="18"/>
        <v>0</v>
      </c>
      <c r="AC38" s="118">
        <f>AC39+AC40+AC41+AC42</f>
        <v>0</v>
      </c>
      <c r="AD38" s="118">
        <f t="shared" ref="AD38" si="19">AD39+AD40+AD41+AD42</f>
        <v>0</v>
      </c>
    </row>
    <row r="39" spans="2:30" ht="16.5" thickBot="1">
      <c r="B39" s="21" t="s">
        <v>100</v>
      </c>
      <c r="C39" s="132"/>
      <c r="D39" s="152"/>
      <c r="E39" s="153">
        <f t="shared" si="3"/>
        <v>2</v>
      </c>
      <c r="F39" s="154">
        <f t="shared" si="3"/>
        <v>2</v>
      </c>
      <c r="G39" s="168"/>
      <c r="H39" s="19">
        <f>E39/1000*212.1</f>
        <v>0.42420000000000002</v>
      </c>
      <c r="I39" s="16">
        <f t="shared" si="15"/>
        <v>20</v>
      </c>
      <c r="J39" s="156">
        <f t="shared" si="16"/>
        <v>20</v>
      </c>
      <c r="K39" s="91"/>
      <c r="L39" s="163"/>
      <c r="M39" s="91"/>
      <c r="N39" s="163"/>
      <c r="O39" s="91">
        <f>[4]Лист1!$C$28</f>
        <v>20</v>
      </c>
      <c r="P39" s="163">
        <f>[4]Лист1!$D$27</f>
        <v>20</v>
      </c>
      <c r="Q39" s="91"/>
      <c r="R39" s="163"/>
      <c r="S39" s="164"/>
      <c r="T39" s="165"/>
      <c r="U39" s="166"/>
      <c r="V39" s="167"/>
      <c r="W39" s="166"/>
      <c r="X39" s="167"/>
      <c r="Y39" s="166"/>
      <c r="Z39" s="167"/>
      <c r="AA39" s="166"/>
      <c r="AB39" s="167"/>
      <c r="AC39" s="91"/>
      <c r="AD39" s="163"/>
    </row>
    <row r="40" spans="2:30" ht="16.5" thickBot="1">
      <c r="B40" s="21" t="s">
        <v>101</v>
      </c>
      <c r="C40" s="132"/>
      <c r="D40" s="152"/>
      <c r="E40" s="153">
        <f t="shared" si="3"/>
        <v>3.8</v>
      </c>
      <c r="F40" s="154">
        <f t="shared" si="3"/>
        <v>3.8</v>
      </c>
      <c r="G40" s="168"/>
      <c r="H40" s="19">
        <f>E40/1000*139.5</f>
        <v>0.53010000000000002</v>
      </c>
      <c r="I40" s="16">
        <f t="shared" si="15"/>
        <v>38</v>
      </c>
      <c r="J40" s="156">
        <f t="shared" si="16"/>
        <v>38</v>
      </c>
      <c r="K40" s="91"/>
      <c r="L40" s="163"/>
      <c r="M40" s="91"/>
      <c r="N40" s="163"/>
      <c r="O40" s="91"/>
      <c r="P40" s="163"/>
      <c r="Q40" s="91"/>
      <c r="R40" s="163"/>
      <c r="S40" s="164">
        <f>[51]Лист1!$C$25</f>
        <v>20</v>
      </c>
      <c r="T40" s="165">
        <f>[51]Лист1!$D$25</f>
        <v>20</v>
      </c>
      <c r="U40" s="166">
        <f>[51]Лист1!$C$13</f>
        <v>18</v>
      </c>
      <c r="V40" s="167">
        <f>[51]Лист1!$D$13</f>
        <v>18</v>
      </c>
      <c r="W40" s="166"/>
      <c r="X40" s="167"/>
      <c r="Y40" s="166"/>
      <c r="Z40" s="167"/>
      <c r="AA40" s="166"/>
      <c r="AB40" s="167"/>
      <c r="AC40" s="91"/>
      <c r="AD40" s="163"/>
    </row>
    <row r="41" spans="2:30" ht="16.5" thickBot="1">
      <c r="B41" s="21" t="s">
        <v>102</v>
      </c>
      <c r="C41" s="132"/>
      <c r="D41" s="152"/>
      <c r="E41" s="153">
        <f t="shared" si="3"/>
        <v>0</v>
      </c>
      <c r="F41" s="154">
        <f t="shared" si="3"/>
        <v>0</v>
      </c>
      <c r="G41" s="168"/>
      <c r="H41" s="19">
        <f>E41/1000*360</f>
        <v>0</v>
      </c>
      <c r="I41" s="16">
        <f t="shared" si="15"/>
        <v>0</v>
      </c>
      <c r="J41" s="156">
        <f t="shared" si="16"/>
        <v>0</v>
      </c>
      <c r="K41" s="91"/>
      <c r="L41" s="163"/>
      <c r="M41" s="91"/>
      <c r="N41" s="163"/>
      <c r="O41" s="91"/>
      <c r="P41" s="163"/>
      <c r="Q41" s="91"/>
      <c r="R41" s="163"/>
      <c r="S41" s="164"/>
      <c r="T41" s="165"/>
      <c r="U41" s="166"/>
      <c r="V41" s="167"/>
      <c r="W41" s="166"/>
      <c r="X41" s="167"/>
      <c r="Y41" s="166"/>
      <c r="Z41" s="167"/>
      <c r="AA41" s="166"/>
      <c r="AB41" s="167"/>
      <c r="AC41" s="91"/>
      <c r="AD41" s="163"/>
    </row>
    <row r="42" spans="2:30" ht="16.5" thickBot="1">
      <c r="B42" s="21" t="s">
        <v>103</v>
      </c>
      <c r="C42" s="132"/>
      <c r="D42" s="152"/>
      <c r="E42" s="153">
        <f t="shared" si="3"/>
        <v>0</v>
      </c>
      <c r="F42" s="154">
        <f t="shared" si="3"/>
        <v>0</v>
      </c>
      <c r="G42" s="168"/>
      <c r="H42" s="19">
        <f>E42/1000*336.7</f>
        <v>0</v>
      </c>
      <c r="I42" s="16">
        <f t="shared" si="15"/>
        <v>0</v>
      </c>
      <c r="J42" s="156">
        <f t="shared" si="16"/>
        <v>0</v>
      </c>
      <c r="K42" s="91"/>
      <c r="L42" s="163"/>
      <c r="M42" s="91"/>
      <c r="N42" s="163"/>
      <c r="O42" s="91"/>
      <c r="P42" s="163"/>
      <c r="Q42" s="91"/>
      <c r="R42" s="163"/>
      <c r="S42" s="164"/>
      <c r="T42" s="165"/>
      <c r="U42" s="166"/>
      <c r="V42" s="167"/>
      <c r="W42" s="166"/>
      <c r="X42" s="167"/>
      <c r="Y42" s="166"/>
      <c r="Z42" s="167"/>
      <c r="AA42" s="166"/>
      <c r="AB42" s="167"/>
      <c r="AC42" s="91"/>
      <c r="AD42" s="163"/>
    </row>
    <row r="43" spans="2:30" ht="16.5" thickBot="1">
      <c r="B43" s="11" t="s">
        <v>36</v>
      </c>
      <c r="C43" s="117">
        <v>200</v>
      </c>
      <c r="D43" s="152">
        <f t="shared" si="2"/>
        <v>60</v>
      </c>
      <c r="E43" s="153">
        <f t="shared" si="3"/>
        <v>40</v>
      </c>
      <c r="F43" s="154">
        <f t="shared" si="3"/>
        <v>40</v>
      </c>
      <c r="G43" s="169">
        <f>F43*30/D43</f>
        <v>20</v>
      </c>
      <c r="H43" s="19">
        <f>E43/1000*71.7</f>
        <v>2.8680000000000003</v>
      </c>
      <c r="I43" s="16">
        <f t="shared" si="15"/>
        <v>400</v>
      </c>
      <c r="J43" s="156">
        <f t="shared" si="16"/>
        <v>400</v>
      </c>
      <c r="K43" s="91"/>
      <c r="L43" s="163"/>
      <c r="M43" s="91">
        <f>'2 день'!D12</f>
        <v>200</v>
      </c>
      <c r="N43" s="163">
        <f>'2 день'!D12</f>
        <v>200</v>
      </c>
      <c r="O43" s="91"/>
      <c r="P43" s="163"/>
      <c r="Q43" s="91"/>
      <c r="R43" s="163"/>
      <c r="S43" s="164"/>
      <c r="T43" s="165"/>
      <c r="U43" s="166"/>
      <c r="V43" s="167"/>
      <c r="W43" s="166">
        <f>'7 день'!D11</f>
        <v>200</v>
      </c>
      <c r="X43" s="167">
        <f>'7 день'!D11</f>
        <v>200</v>
      </c>
      <c r="Y43" s="166"/>
      <c r="Z43" s="167"/>
      <c r="AA43" s="166"/>
      <c r="AB43" s="167"/>
      <c r="AC43" s="91"/>
      <c r="AD43" s="163"/>
    </row>
    <row r="44" spans="2:30" ht="16.5" thickBot="1">
      <c r="B44" s="13" t="s">
        <v>37</v>
      </c>
      <c r="C44" s="117">
        <v>70</v>
      </c>
      <c r="D44" s="152">
        <f t="shared" si="2"/>
        <v>21</v>
      </c>
      <c r="E44" s="153">
        <f t="shared" si="3"/>
        <v>35.837443478260866</v>
      </c>
      <c r="F44" s="154">
        <f t="shared" si="3"/>
        <v>29.636637681159424</v>
      </c>
      <c r="G44" s="169">
        <f t="shared" ref="G44:G48" si="20">F44*30/D44</f>
        <v>42.33805383022775</v>
      </c>
      <c r="H44" s="19">
        <f>E44/1000*454.4</f>
        <v>16.284534316521736</v>
      </c>
      <c r="I44" s="16">
        <f t="shared" si="15"/>
        <v>358.37443478260866</v>
      </c>
      <c r="J44" s="156">
        <f t="shared" si="16"/>
        <v>296.36637681159425</v>
      </c>
      <c r="K44" s="92">
        <f>[2]Лист1!$C$13</f>
        <v>34.244</v>
      </c>
      <c r="L44" s="170">
        <f>[2]Лист1!$D$13</f>
        <v>32.533333333333331</v>
      </c>
      <c r="M44" s="92">
        <f>[46]Лист1!$C$25+[41]Лист1!$C$28</f>
        <v>146.30434782608694</v>
      </c>
      <c r="N44" s="170">
        <f>[46]Лист1!$D$25+[41]Лист1!$D$28</f>
        <v>108.15304347826088</v>
      </c>
      <c r="O44" s="92"/>
      <c r="P44" s="170"/>
      <c r="Q44" s="92"/>
      <c r="R44" s="170"/>
      <c r="S44" s="171"/>
      <c r="T44" s="172"/>
      <c r="U44" s="173"/>
      <c r="V44" s="174"/>
      <c r="W44" s="173"/>
      <c r="X44" s="174"/>
      <c r="Y44" s="173">
        <f>[46]Лист1!$C$25+[29]Лист1!$C$13</f>
        <v>134.82608695652175</v>
      </c>
      <c r="Z44" s="174">
        <f>[46]Лист1!$D$25+[29]Лист1!$D$13</f>
        <v>123.44</v>
      </c>
      <c r="AA44" s="173"/>
      <c r="AB44" s="174"/>
      <c r="AC44" s="92">
        <f>[46]Лист1!$C$25</f>
        <v>43</v>
      </c>
      <c r="AD44" s="170">
        <f>[46]Лист1!$D$25</f>
        <v>32.24</v>
      </c>
    </row>
    <row r="45" spans="2:30" ht="32.25" thickBot="1">
      <c r="B45" s="13" t="s">
        <v>38</v>
      </c>
      <c r="C45" s="117">
        <v>30</v>
      </c>
      <c r="D45" s="152">
        <f t="shared" si="2"/>
        <v>9</v>
      </c>
      <c r="E45" s="153">
        <f t="shared" si="3"/>
        <v>0</v>
      </c>
      <c r="F45" s="154">
        <f t="shared" si="3"/>
        <v>0</v>
      </c>
      <c r="G45" s="169">
        <f t="shared" si="20"/>
        <v>0</v>
      </c>
      <c r="H45" s="19">
        <f>E45/1000*277</f>
        <v>0</v>
      </c>
      <c r="I45" s="16">
        <f t="shared" si="15"/>
        <v>0</v>
      </c>
      <c r="J45" s="156">
        <f t="shared" si="16"/>
        <v>0</v>
      </c>
      <c r="K45" s="92"/>
      <c r="L45" s="170"/>
      <c r="M45" s="92"/>
      <c r="N45" s="170"/>
      <c r="O45" s="92"/>
      <c r="P45" s="170"/>
      <c r="Q45" s="92"/>
      <c r="R45" s="170"/>
      <c r="S45" s="171"/>
      <c r="T45" s="172"/>
      <c r="U45" s="173"/>
      <c r="V45" s="174"/>
      <c r="W45" s="173"/>
      <c r="X45" s="174"/>
      <c r="Y45" s="173"/>
      <c r="Z45" s="174"/>
      <c r="AA45" s="173"/>
      <c r="AB45" s="174"/>
      <c r="AC45" s="92"/>
      <c r="AD45" s="170"/>
    </row>
    <row r="46" spans="2:30" ht="16.5" thickBot="1">
      <c r="B46" s="13" t="s">
        <v>39</v>
      </c>
      <c r="C46" s="117">
        <v>35</v>
      </c>
      <c r="D46" s="152">
        <f t="shared" si="2"/>
        <v>10.5</v>
      </c>
      <c r="E46" s="153">
        <f t="shared" si="3"/>
        <v>39.979799999999997</v>
      </c>
      <c r="F46" s="154">
        <f t="shared" si="3"/>
        <v>20.437999999999999</v>
      </c>
      <c r="G46" s="169">
        <f t="shared" si="20"/>
        <v>58.394285714285715</v>
      </c>
      <c r="H46" s="19">
        <f>E46/1000*201.4</f>
        <v>8.0519317199999989</v>
      </c>
      <c r="I46" s="16">
        <f t="shared" si="15"/>
        <v>399.798</v>
      </c>
      <c r="J46" s="156">
        <f t="shared" si="16"/>
        <v>204.38</v>
      </c>
      <c r="K46" s="91"/>
      <c r="L46" s="163"/>
      <c r="M46" s="91"/>
      <c r="N46" s="163"/>
      <c r="O46" s="91"/>
      <c r="P46" s="163"/>
      <c r="Q46" s="91"/>
      <c r="R46" s="163"/>
      <c r="S46" s="164">
        <f>[47]Лист1!$C$37</f>
        <v>54</v>
      </c>
      <c r="T46" s="165">
        <f>[47]Лист1!$D$37</f>
        <v>31.3</v>
      </c>
      <c r="U46" s="166"/>
      <c r="V46" s="167"/>
      <c r="W46" s="166">
        <f>[18]Лист1!$C$25+[26]Лист1!$C$12</f>
        <v>207.19799999999998</v>
      </c>
      <c r="X46" s="167">
        <f>[18]Лист1!$D$25+[26]Лист1!$D$12</f>
        <v>112.03999999999999</v>
      </c>
      <c r="Y46" s="166"/>
      <c r="Z46" s="167"/>
      <c r="AA46" s="166">
        <f>[18]Лист1!$C$25+[31]Лист1!$C$12</f>
        <v>138.60000000000002</v>
      </c>
      <c r="AB46" s="167">
        <f>[18]Лист1!$D$25+[31]Лист1!$D$12</f>
        <v>61.04</v>
      </c>
      <c r="AC46" s="91"/>
      <c r="AD46" s="163"/>
    </row>
    <row r="47" spans="2:30" ht="16.5" thickBot="1">
      <c r="B47" s="11" t="s">
        <v>40</v>
      </c>
      <c r="C47" s="117">
        <v>58</v>
      </c>
      <c r="D47" s="152">
        <f t="shared" si="2"/>
        <v>17.399999999999999</v>
      </c>
      <c r="E47" s="153">
        <f t="shared" si="3"/>
        <v>25.027999999999999</v>
      </c>
      <c r="F47" s="154">
        <f t="shared" si="3"/>
        <v>18.170000000000002</v>
      </c>
      <c r="G47" s="169">
        <f t="shared" si="20"/>
        <v>31.327586206896555</v>
      </c>
      <c r="H47" s="19">
        <f>E47/1000*216.3</f>
        <v>5.4135564</v>
      </c>
      <c r="I47" s="16">
        <f t="shared" si="15"/>
        <v>250.28</v>
      </c>
      <c r="J47" s="156">
        <f t="shared" si="16"/>
        <v>181.70000000000002</v>
      </c>
      <c r="K47" s="91"/>
      <c r="L47" s="163"/>
      <c r="M47" s="91"/>
      <c r="N47" s="163"/>
      <c r="O47" s="91">
        <f>[48]Лист1!$C$36</f>
        <v>45.08</v>
      </c>
      <c r="P47" s="163">
        <f>[48]Лист1!$D$36</f>
        <v>32.9</v>
      </c>
      <c r="Q47" s="91"/>
      <c r="R47" s="163"/>
      <c r="S47" s="164">
        <f>[19]Лист1!$C$12</f>
        <v>82.8</v>
      </c>
      <c r="T47" s="165">
        <f>[19]Лист1!$D$12</f>
        <v>60</v>
      </c>
      <c r="U47" s="166">
        <f>[19]Лист1!$C$12</f>
        <v>82.8</v>
      </c>
      <c r="V47" s="167">
        <f>[19]Лист1!$D$12</f>
        <v>60</v>
      </c>
      <c r="W47" s="166"/>
      <c r="X47" s="167"/>
      <c r="Y47" s="166"/>
      <c r="Z47" s="167"/>
      <c r="AA47" s="166">
        <f>[31]Лист1!$C$15</f>
        <v>39.6</v>
      </c>
      <c r="AB47" s="167">
        <f>[31]Лист1!$D$15</f>
        <v>28.8</v>
      </c>
      <c r="AC47" s="91"/>
      <c r="AD47" s="163"/>
    </row>
    <row r="48" spans="2:30" ht="16.5" thickBot="1">
      <c r="B48" s="11" t="s">
        <v>41</v>
      </c>
      <c r="C48" s="117">
        <v>300</v>
      </c>
      <c r="D48" s="152">
        <f t="shared" si="2"/>
        <v>90</v>
      </c>
      <c r="E48" s="153">
        <f t="shared" si="3"/>
        <v>36.929375000000007</v>
      </c>
      <c r="F48" s="154">
        <f t="shared" si="3"/>
        <v>36.929375000000007</v>
      </c>
      <c r="G48" s="169">
        <f t="shared" si="20"/>
        <v>12.309791666666667</v>
      </c>
      <c r="H48" s="19"/>
      <c r="I48" s="16">
        <f t="shared" si="15"/>
        <v>369.29375000000005</v>
      </c>
      <c r="J48" s="156">
        <f t="shared" si="16"/>
        <v>369.29375000000005</v>
      </c>
      <c r="K48" s="118">
        <f t="shared" ref="K48:L48" si="21">K49+K50+K51</f>
        <v>57.693750000000001</v>
      </c>
      <c r="L48" s="118">
        <f t="shared" si="21"/>
        <v>57.693750000000001</v>
      </c>
      <c r="M48" s="118">
        <f t="shared" ref="M48:AB48" si="22">M49+M50+M51</f>
        <v>0</v>
      </c>
      <c r="N48" s="118">
        <f t="shared" si="22"/>
        <v>0</v>
      </c>
      <c r="O48" s="118">
        <f t="shared" si="22"/>
        <v>72</v>
      </c>
      <c r="P48" s="118">
        <f t="shared" si="22"/>
        <v>72</v>
      </c>
      <c r="Q48" s="118">
        <f t="shared" si="22"/>
        <v>45</v>
      </c>
      <c r="R48" s="118">
        <f t="shared" si="22"/>
        <v>45</v>
      </c>
      <c r="S48" s="118">
        <f t="shared" si="22"/>
        <v>52.8</v>
      </c>
      <c r="T48" s="118">
        <f t="shared" si="22"/>
        <v>52.8</v>
      </c>
      <c r="U48" s="118">
        <f>U49+U50+U51</f>
        <v>22.8</v>
      </c>
      <c r="V48" s="118">
        <f>V49+V50+V51</f>
        <v>22.8</v>
      </c>
      <c r="W48" s="118">
        <f t="shared" si="22"/>
        <v>0</v>
      </c>
      <c r="X48" s="118">
        <f t="shared" si="22"/>
        <v>0</v>
      </c>
      <c r="Y48" s="118">
        <f>Y49+Y50+Y51</f>
        <v>41.6</v>
      </c>
      <c r="Z48" s="118">
        <f>Z49+Z50+Z51</f>
        <v>41.6</v>
      </c>
      <c r="AA48" s="118">
        <f t="shared" si="22"/>
        <v>77.400000000000006</v>
      </c>
      <c r="AB48" s="118">
        <f t="shared" si="22"/>
        <v>77.400000000000006</v>
      </c>
      <c r="AC48" s="118">
        <f>AC49+AC50+AC51</f>
        <v>0</v>
      </c>
      <c r="AD48" s="118">
        <f t="shared" ref="AD48" si="23">AD49+AD50+AD51</f>
        <v>0</v>
      </c>
    </row>
    <row r="49" spans="2:30" ht="16.5" thickBot="1">
      <c r="B49" s="21" t="s">
        <v>41</v>
      </c>
      <c r="C49" s="132"/>
      <c r="D49" s="152"/>
      <c r="E49" s="153">
        <f t="shared" si="3"/>
        <v>36.929375000000007</v>
      </c>
      <c r="F49" s="154">
        <f t="shared" si="3"/>
        <v>36.929375000000007</v>
      </c>
      <c r="G49" s="168"/>
      <c r="H49" s="19">
        <f>E49/1000*76.6</f>
        <v>2.8287901250000003</v>
      </c>
      <c r="I49" s="16">
        <f t="shared" si="15"/>
        <v>369.29375000000005</v>
      </c>
      <c r="J49" s="156">
        <f t="shared" si="16"/>
        <v>369.29375000000005</v>
      </c>
      <c r="K49" s="142">
        <f>[3]Лист1!$C$13</f>
        <v>57.693750000000001</v>
      </c>
      <c r="L49" s="175">
        <f>[3]Лист1!$D$13</f>
        <v>57.693750000000001</v>
      </c>
      <c r="M49" s="91"/>
      <c r="N49" s="163"/>
      <c r="O49" s="91">
        <f>[11]Лист1!$C$12</f>
        <v>72</v>
      </c>
      <c r="P49" s="163">
        <f>[11]Лист1!$D$12</f>
        <v>72</v>
      </c>
      <c r="Q49" s="91">
        <f>[15]Лист1!$C$17</f>
        <v>45</v>
      </c>
      <c r="R49" s="163">
        <f>Q49</f>
        <v>45</v>
      </c>
      <c r="S49" s="91">
        <f>[19]Лист1!$C$15+[20]Лист1!$C$37</f>
        <v>52.8</v>
      </c>
      <c r="T49" s="163">
        <f>[19]Лист1!$D$15+[20]Лист1!$D$37</f>
        <v>52.8</v>
      </c>
      <c r="U49" s="166">
        <f>[19]Лист1!$C$15</f>
        <v>22.8</v>
      </c>
      <c r="V49" s="167">
        <f>[19]Лист1!$D$15</f>
        <v>22.8</v>
      </c>
      <c r="W49" s="166"/>
      <c r="X49" s="167"/>
      <c r="Y49" s="166">
        <f>[37]Лист1!$C$25</f>
        <v>41.6</v>
      </c>
      <c r="Z49" s="167">
        <f>[37]Лист1!$D$25</f>
        <v>41.6</v>
      </c>
      <c r="AA49" s="176">
        <f>[31]Лист1!$C$21+[32]Лист1!$C$12</f>
        <v>77.400000000000006</v>
      </c>
      <c r="AB49" s="177">
        <f>[31]Лист1!$D$21+[32]Лист1!$D$12</f>
        <v>77.400000000000006</v>
      </c>
      <c r="AC49" s="142"/>
      <c r="AD49" s="175"/>
    </row>
    <row r="50" spans="2:30" ht="16.5" thickBot="1">
      <c r="B50" s="21" t="s">
        <v>119</v>
      </c>
      <c r="C50" s="132"/>
      <c r="D50" s="152"/>
      <c r="E50" s="153">
        <f t="shared" si="3"/>
        <v>0</v>
      </c>
      <c r="F50" s="154">
        <f t="shared" si="3"/>
        <v>0</v>
      </c>
      <c r="G50" s="168"/>
      <c r="H50" s="19">
        <f>E50/1000*125.6</f>
        <v>0</v>
      </c>
      <c r="I50" s="16">
        <f t="shared" si="15"/>
        <v>0</v>
      </c>
      <c r="J50" s="156">
        <f t="shared" si="16"/>
        <v>0</v>
      </c>
      <c r="K50" s="178"/>
      <c r="L50" s="179"/>
      <c r="M50" s="91"/>
      <c r="N50" s="163"/>
      <c r="O50" s="91"/>
      <c r="P50" s="163"/>
      <c r="Q50" s="91"/>
      <c r="R50" s="163"/>
      <c r="S50" s="91"/>
      <c r="T50" s="163"/>
      <c r="U50" s="166"/>
      <c r="V50" s="167"/>
      <c r="W50" s="166"/>
      <c r="X50" s="167"/>
      <c r="Y50" s="166"/>
      <c r="Z50" s="167"/>
      <c r="AA50" s="180"/>
      <c r="AB50" s="181"/>
      <c r="AC50" s="178"/>
      <c r="AD50" s="179"/>
    </row>
    <row r="51" spans="2:30" ht="16.5" thickBot="1">
      <c r="B51" s="21" t="s">
        <v>123</v>
      </c>
      <c r="C51" s="132"/>
      <c r="D51" s="152"/>
      <c r="E51" s="153">
        <f t="shared" si="3"/>
        <v>0</v>
      </c>
      <c r="F51" s="154">
        <f t="shared" si="3"/>
        <v>0</v>
      </c>
      <c r="G51" s="168"/>
      <c r="H51" s="19">
        <f>E51/1000*273.3</f>
        <v>0</v>
      </c>
      <c r="I51" s="16">
        <f t="shared" si="15"/>
        <v>0</v>
      </c>
      <c r="J51" s="156">
        <f t="shared" si="16"/>
        <v>0</v>
      </c>
      <c r="K51" s="143"/>
      <c r="L51" s="182"/>
      <c r="M51" s="91"/>
      <c r="N51" s="163"/>
      <c r="O51" s="91"/>
      <c r="P51" s="163"/>
      <c r="Q51" s="91"/>
      <c r="R51" s="163"/>
      <c r="S51" s="91"/>
      <c r="T51" s="163"/>
      <c r="U51" s="166"/>
      <c r="V51" s="167"/>
      <c r="W51" s="166"/>
      <c r="X51" s="167"/>
      <c r="Y51" s="166"/>
      <c r="Z51" s="167"/>
      <c r="AA51" s="176"/>
      <c r="AB51" s="177"/>
      <c r="AC51" s="142"/>
      <c r="AD51" s="175"/>
    </row>
    <row r="52" spans="2:30" ht="16.5" thickBot="1">
      <c r="B52" s="14" t="s">
        <v>42</v>
      </c>
      <c r="C52" s="117">
        <v>150</v>
      </c>
      <c r="D52" s="152">
        <f t="shared" si="2"/>
        <v>45</v>
      </c>
      <c r="E52" s="153">
        <f t="shared" si="3"/>
        <v>11.715</v>
      </c>
      <c r="F52" s="154">
        <f t="shared" si="3"/>
        <v>11</v>
      </c>
      <c r="G52" s="169">
        <f>F52*30/D52</f>
        <v>7.333333333333333</v>
      </c>
      <c r="H52" s="19">
        <f>E52/1000*209.6</f>
        <v>2.4554640000000001</v>
      </c>
      <c r="I52" s="16">
        <f t="shared" si="15"/>
        <v>117.15</v>
      </c>
      <c r="J52" s="156">
        <f t="shared" si="16"/>
        <v>110</v>
      </c>
      <c r="K52" s="91"/>
      <c r="L52" s="163"/>
      <c r="M52" s="91"/>
      <c r="N52" s="163"/>
      <c r="O52" s="91"/>
      <c r="P52" s="163"/>
      <c r="Q52" s="91">
        <f>[52]Лист1!$C$14</f>
        <v>117.15</v>
      </c>
      <c r="R52" s="163">
        <f>[52]Лист1!$D$14</f>
        <v>110</v>
      </c>
      <c r="S52" s="164"/>
      <c r="T52" s="165"/>
      <c r="U52" s="166"/>
      <c r="V52" s="167"/>
      <c r="W52" s="166"/>
      <c r="X52" s="167"/>
      <c r="Y52" s="166"/>
      <c r="Z52" s="167"/>
      <c r="AA52" s="166"/>
      <c r="AB52" s="167"/>
      <c r="AC52" s="91"/>
      <c r="AD52" s="163"/>
    </row>
    <row r="53" spans="2:30" ht="16.5" thickBot="1">
      <c r="B53" s="11" t="s">
        <v>43</v>
      </c>
      <c r="C53" s="117">
        <v>50</v>
      </c>
      <c r="D53" s="152">
        <f t="shared" si="2"/>
        <v>15</v>
      </c>
      <c r="E53" s="153">
        <f t="shared" si="3"/>
        <v>13.599750000000004</v>
      </c>
      <c r="F53" s="154">
        <f t="shared" si="3"/>
        <v>13.5</v>
      </c>
      <c r="G53" s="169">
        <f t="shared" ref="G53:G60" si="24">F53*30/D53</f>
        <v>27</v>
      </c>
      <c r="H53" s="19">
        <f>E53/1000*340.4</f>
        <v>4.6293549000000009</v>
      </c>
      <c r="I53" s="16">
        <f t="shared" si="15"/>
        <v>135.99750000000003</v>
      </c>
      <c r="J53" s="156">
        <f t="shared" si="16"/>
        <v>135</v>
      </c>
      <c r="K53" s="91"/>
      <c r="L53" s="163"/>
      <c r="M53" s="91"/>
      <c r="N53" s="163"/>
      <c r="O53" s="91"/>
      <c r="P53" s="163"/>
      <c r="Q53" s="91">
        <f>[35]Лист1!$C$12</f>
        <v>135.99750000000003</v>
      </c>
      <c r="R53" s="163">
        <f>[35]Лист1!$D$12</f>
        <v>135</v>
      </c>
      <c r="S53" s="164"/>
      <c r="T53" s="165"/>
      <c r="U53" s="166"/>
      <c r="V53" s="167"/>
      <c r="W53" s="166"/>
      <c r="X53" s="167"/>
      <c r="Y53" s="166"/>
      <c r="Z53" s="167"/>
      <c r="AA53" s="166"/>
      <c r="AB53" s="167"/>
      <c r="AC53" s="91"/>
      <c r="AD53" s="163"/>
    </row>
    <row r="54" spans="2:30" ht="16.5" thickBot="1">
      <c r="B54" s="11" t="s">
        <v>44</v>
      </c>
      <c r="C54" s="117">
        <v>10</v>
      </c>
      <c r="D54" s="152">
        <f t="shared" si="2"/>
        <v>3</v>
      </c>
      <c r="E54" s="153">
        <f t="shared" si="3"/>
        <v>3.8250000000000002</v>
      </c>
      <c r="F54" s="154">
        <f t="shared" si="3"/>
        <v>3.7439999999999998</v>
      </c>
      <c r="G54" s="169">
        <f t="shared" si="24"/>
        <v>37.44</v>
      </c>
      <c r="H54" s="19">
        <f>E54/1000*583</f>
        <v>2.229975</v>
      </c>
      <c r="I54" s="16">
        <f t="shared" si="15"/>
        <v>38.25</v>
      </c>
      <c r="J54" s="156">
        <f t="shared" si="16"/>
        <v>37.44</v>
      </c>
      <c r="K54" s="91"/>
      <c r="L54" s="163"/>
      <c r="M54" s="91"/>
      <c r="N54" s="163"/>
      <c r="O54" s="91"/>
      <c r="P54" s="163"/>
      <c r="Q54" s="91"/>
      <c r="R54" s="163"/>
      <c r="S54" s="164"/>
      <c r="T54" s="165"/>
      <c r="U54" s="166"/>
      <c r="V54" s="167"/>
      <c r="W54" s="166"/>
      <c r="X54" s="167"/>
      <c r="Y54" s="166"/>
      <c r="Z54" s="167"/>
      <c r="AA54" s="166">
        <f>[31]Лист1!$C$18</f>
        <v>18.45</v>
      </c>
      <c r="AB54" s="167">
        <f>[31]Лист1!$D$18</f>
        <v>17.64</v>
      </c>
      <c r="AC54" s="91">
        <f>[39]Лист1!$C$25</f>
        <v>19.8</v>
      </c>
      <c r="AD54" s="163">
        <f>[39]Лист1!$C$25</f>
        <v>19.8</v>
      </c>
    </row>
    <row r="55" spans="2:30" ht="16.5" thickBot="1">
      <c r="B55" s="11" t="s">
        <v>45</v>
      </c>
      <c r="C55" s="117">
        <v>10</v>
      </c>
      <c r="D55" s="152">
        <f t="shared" si="2"/>
        <v>3</v>
      </c>
      <c r="E55" s="153">
        <f t="shared" si="3"/>
        <v>2.5002500000000003</v>
      </c>
      <c r="F55" s="154">
        <f t="shared" si="3"/>
        <v>2.5002500000000003</v>
      </c>
      <c r="G55" s="169">
        <f t="shared" si="24"/>
        <v>25.002500000000001</v>
      </c>
      <c r="H55" s="19">
        <f>E55/1000*256.6</f>
        <v>0.64156415000000011</v>
      </c>
      <c r="I55" s="16">
        <f t="shared" si="15"/>
        <v>25.002500000000001</v>
      </c>
      <c r="J55" s="156">
        <f t="shared" si="16"/>
        <v>25.002500000000001</v>
      </c>
      <c r="K55" s="91"/>
      <c r="L55" s="163"/>
      <c r="M55" s="91"/>
      <c r="N55" s="163"/>
      <c r="O55" s="91"/>
      <c r="P55" s="163"/>
      <c r="Q55" s="91">
        <f>[35]Лист1!$C$18</f>
        <v>5.0025000000000004</v>
      </c>
      <c r="R55" s="163">
        <f>[35]Лист1!$D$18</f>
        <v>5.0025000000000004</v>
      </c>
      <c r="S55" s="164"/>
      <c r="T55" s="165"/>
      <c r="U55" s="166"/>
      <c r="V55" s="167"/>
      <c r="W55" s="166"/>
      <c r="X55" s="167"/>
      <c r="Y55" s="166">
        <f>'8 день '!D8</f>
        <v>10</v>
      </c>
      <c r="Z55" s="167">
        <f>'8 день '!D8</f>
        <v>10</v>
      </c>
      <c r="AA55" s="166"/>
      <c r="AB55" s="167"/>
      <c r="AC55" s="91">
        <f>[53]Лист1!$C$24</f>
        <v>10</v>
      </c>
      <c r="AD55" s="163">
        <f>[53]Лист1!$C$24</f>
        <v>10</v>
      </c>
    </row>
    <row r="56" spans="2:30" ht="16.5" thickBot="1">
      <c r="B56" s="11" t="s">
        <v>46</v>
      </c>
      <c r="C56" s="117">
        <v>30</v>
      </c>
      <c r="D56" s="152">
        <f t="shared" si="2"/>
        <v>9</v>
      </c>
      <c r="E56" s="153">
        <f t="shared" si="3"/>
        <v>7.7908152173913052</v>
      </c>
      <c r="F56" s="154">
        <f t="shared" si="3"/>
        <v>7.7908152173913052</v>
      </c>
      <c r="G56" s="169">
        <f t="shared" si="24"/>
        <v>25.96938405797102</v>
      </c>
      <c r="H56" s="19">
        <f>E56/1000*818.3</f>
        <v>6.3752240923913046</v>
      </c>
      <c r="I56" s="16">
        <f t="shared" si="15"/>
        <v>77.908152173913052</v>
      </c>
      <c r="J56" s="156">
        <f t="shared" si="16"/>
        <v>77.908152173913052</v>
      </c>
      <c r="K56" s="91">
        <f>[3]Лист1!$C$17</f>
        <v>4.6875</v>
      </c>
      <c r="L56" s="163">
        <f>[3]Лист1!$D$17</f>
        <v>4.6875</v>
      </c>
      <c r="M56" s="91">
        <f>[38]Лист1!$C$16+[41]Лист1!$C$32</f>
        <v>8.695652173913043</v>
      </c>
      <c r="N56" s="163">
        <f>[38]Лист1!$D$16+[41]Лист1!$D$32</f>
        <v>8.695652173913043</v>
      </c>
      <c r="O56" s="91">
        <f>[11]Лист1!$C$15+'3 день '!D9</f>
        <v>13.75</v>
      </c>
      <c r="P56" s="163">
        <f>O56</f>
        <v>13.75</v>
      </c>
      <c r="Q56" s="91">
        <f>'4 день  '!D8+[13]Лист1!$C$17</f>
        <v>12</v>
      </c>
      <c r="R56" s="163">
        <f>'4 день  '!D8+[13]Лист1!$D$17</f>
        <v>12</v>
      </c>
      <c r="S56" s="164">
        <f>[19]Лист1!$C$18+[20]Лист1!$C$38</f>
        <v>10.199999999999999</v>
      </c>
      <c r="T56" s="165">
        <f>S56</f>
        <v>10.199999999999999</v>
      </c>
      <c r="U56" s="166">
        <f>[43]Лист1!$C$14+[19]Лист1!$C$18</f>
        <v>8.3249999999999993</v>
      </c>
      <c r="V56" s="167">
        <f>[43]Лист1!$D$14+[19]Лист1!$D$18</f>
        <v>8.3249999999999993</v>
      </c>
      <c r="W56" s="166">
        <f>[38]Лист1!$C$16</f>
        <v>4</v>
      </c>
      <c r="X56" s="167">
        <f>[38]Лист1!$D$16</f>
        <v>4</v>
      </c>
      <c r="Y56" s="166">
        <f>[29]Лист1!$C$17</f>
        <v>8</v>
      </c>
      <c r="Z56" s="167">
        <f>[29]Лист1!$D$17</f>
        <v>8</v>
      </c>
      <c r="AA56" s="166">
        <f>[32]Лист1!$C$15</f>
        <v>3.75</v>
      </c>
      <c r="AB56" s="167">
        <f>[32]Лист1!$D$15</f>
        <v>3.75</v>
      </c>
      <c r="AC56" s="91">
        <f>[39]Лист1!$C$26</f>
        <v>4.5</v>
      </c>
      <c r="AD56" s="163">
        <f>[39]Лист1!$C$26</f>
        <v>4.5</v>
      </c>
    </row>
    <row r="57" spans="2:30" ht="16.5" thickBot="1">
      <c r="B57" s="13" t="s">
        <v>47</v>
      </c>
      <c r="C57" s="117">
        <v>15</v>
      </c>
      <c r="D57" s="152">
        <f t="shared" si="2"/>
        <v>4.5</v>
      </c>
      <c r="E57" s="153">
        <f t="shared" si="3"/>
        <v>5.7046250000000001</v>
      </c>
      <c r="F57" s="154">
        <f t="shared" si="3"/>
        <v>5.7046250000000001</v>
      </c>
      <c r="G57" s="169">
        <f t="shared" si="24"/>
        <v>38.030833333333334</v>
      </c>
      <c r="H57" s="19">
        <f>E57/1000*118.1</f>
        <v>0.67371621249999991</v>
      </c>
      <c r="I57" s="16">
        <f t="shared" si="15"/>
        <v>57.046250000000001</v>
      </c>
      <c r="J57" s="156">
        <f t="shared" si="16"/>
        <v>57.046250000000001</v>
      </c>
      <c r="K57" s="91">
        <f>[3]Лист1!$C$14</f>
        <v>2.34375</v>
      </c>
      <c r="L57" s="163">
        <f>[3]Лист1!$D$14</f>
        <v>2.34375</v>
      </c>
      <c r="M57" s="91"/>
      <c r="N57" s="163"/>
      <c r="O57" s="91">
        <f>[40]Лист1!$C$16</f>
        <v>2</v>
      </c>
      <c r="P57" s="163">
        <f>[40]Лист1!$D$16</f>
        <v>2</v>
      </c>
      <c r="Q57" s="91">
        <f>[35]Лист1!$C$19</f>
        <v>2.0024999999999999</v>
      </c>
      <c r="R57" s="163">
        <f>Q57</f>
        <v>2.0024999999999999</v>
      </c>
      <c r="S57" s="164">
        <f>[36]Лист1!$C$30+[19]Лист1!$C$19</f>
        <v>7.4</v>
      </c>
      <c r="T57" s="165">
        <f>[36]Лист1!$D$30+[19]Лист1!$D$19</f>
        <v>7.4</v>
      </c>
      <c r="U57" s="166">
        <v>8.5</v>
      </c>
      <c r="V57" s="167">
        <f>[19]Лист1!$D$20+[49]Лист1!$D$14+[22]Лист1!$D$31</f>
        <v>8.5</v>
      </c>
      <c r="W57" s="166">
        <f>[26]Лист1!$C$20</f>
        <v>6</v>
      </c>
      <c r="X57" s="167">
        <f>[26]Лист1!$D$20</f>
        <v>6</v>
      </c>
      <c r="Y57" s="166">
        <f>[44]Лист1!$C$20+[45]Лист1!$C$29</f>
        <v>8.8000000000000007</v>
      </c>
      <c r="Z57" s="167">
        <f>[44]Лист1!$D$20+[45]Лист1!$D$29</f>
        <v>8.8000000000000007</v>
      </c>
      <c r="AA57" s="166">
        <f>[17]Лист1!$C$16+[31]Лист1!$C$22+[31]Лист1!$C$23</f>
        <v>11.200000000000001</v>
      </c>
      <c r="AB57" s="167">
        <f>[17]Лист1!$D$16+[31]Лист1!$D$22+[31]Лист1!$D$23</f>
        <v>11.200000000000001</v>
      </c>
      <c r="AC57" s="91">
        <f>[44]Лист1!$C$20+[45]Лист1!$C$29</f>
        <v>8.8000000000000007</v>
      </c>
      <c r="AD57" s="163">
        <f>[44]Лист1!$C$20+[45]Лист1!$D$29</f>
        <v>8.8000000000000007</v>
      </c>
    </row>
    <row r="58" spans="2:30" ht="16.5" thickBot="1">
      <c r="B58" s="13" t="s">
        <v>48</v>
      </c>
      <c r="C58" s="117">
        <v>40</v>
      </c>
      <c r="D58" s="152">
        <f t="shared" si="2"/>
        <v>12</v>
      </c>
      <c r="E58" s="153">
        <f t="shared" si="3"/>
        <v>12.287645833333334</v>
      </c>
      <c r="F58" s="154">
        <f t="shared" si="3"/>
        <v>10.679458333333333</v>
      </c>
      <c r="G58" s="169">
        <f t="shared" si="24"/>
        <v>26.69864583333333</v>
      </c>
      <c r="H58" s="19">
        <f>E58/40*9.5</f>
        <v>2.9183158854166669</v>
      </c>
      <c r="I58" s="16">
        <f t="shared" si="15"/>
        <v>122.87645833333335</v>
      </c>
      <c r="J58" s="156">
        <f t="shared" si="16"/>
        <v>106.79458333333332</v>
      </c>
      <c r="K58" s="91">
        <f>[2]Лист1!$C$15+[3]Лист1!$C$12</f>
        <v>108.72645833333334</v>
      </c>
      <c r="L58" s="163">
        <f>[2]Лист1!$D$15+[3]Лист1!$D$12</f>
        <v>94.559583333333322</v>
      </c>
      <c r="M58" s="91"/>
      <c r="N58" s="163"/>
      <c r="O58" s="91">
        <f>[48]Лист1!$C$39</f>
        <v>2.0299999999999998</v>
      </c>
      <c r="P58" s="163">
        <f>[48]Лист1!$D$39</f>
        <v>1.75</v>
      </c>
      <c r="Q58" s="91">
        <f>[35]Лист1!$C$17</f>
        <v>6</v>
      </c>
      <c r="R58" s="163">
        <f>[35]Лист1!$D$17</f>
        <v>5.1749999999999998</v>
      </c>
      <c r="S58" s="164"/>
      <c r="T58" s="165"/>
      <c r="U58" s="166"/>
      <c r="V58" s="167"/>
      <c r="W58" s="166"/>
      <c r="X58" s="167"/>
      <c r="Y58" s="166"/>
      <c r="Z58" s="167"/>
      <c r="AA58" s="166">
        <f>[31]Лист1!$C$20</f>
        <v>6.12</v>
      </c>
      <c r="AB58" s="167">
        <f>[31]Лист1!$D$20</f>
        <v>5.3100000000000005</v>
      </c>
      <c r="AC58" s="91"/>
      <c r="AD58" s="163"/>
    </row>
    <row r="59" spans="2:30" ht="16.5" thickBot="1">
      <c r="B59" s="13" t="s">
        <v>49</v>
      </c>
      <c r="C59" s="117">
        <v>30</v>
      </c>
      <c r="D59" s="152">
        <f t="shared" si="2"/>
        <v>9</v>
      </c>
      <c r="E59" s="153">
        <f t="shared" si="3"/>
        <v>8.3000000000000007</v>
      </c>
      <c r="F59" s="154">
        <f t="shared" si="3"/>
        <v>8.3000000000000007</v>
      </c>
      <c r="G59" s="169">
        <f t="shared" si="24"/>
        <v>27.666666666666671</v>
      </c>
      <c r="H59" s="19">
        <f>E59/1000*68.3</f>
        <v>0.56689000000000001</v>
      </c>
      <c r="I59" s="16">
        <f t="shared" si="15"/>
        <v>83</v>
      </c>
      <c r="J59" s="156">
        <f t="shared" si="16"/>
        <v>83</v>
      </c>
      <c r="K59" s="91"/>
      <c r="L59" s="163"/>
      <c r="M59" s="91"/>
      <c r="N59" s="163"/>
      <c r="O59" s="91">
        <f>[4]Лист1!$C$33</f>
        <v>10</v>
      </c>
      <c r="P59" s="163">
        <f>[4]Лист1!$D$33</f>
        <v>10</v>
      </c>
      <c r="Q59" s="91">
        <f>[35]Лист1!$C$14+[15]Лист1!$C$16</f>
        <v>24</v>
      </c>
      <c r="R59" s="163">
        <f>Q59</f>
        <v>24</v>
      </c>
      <c r="S59" s="164">
        <f>[51]Лист1!$C$27</f>
        <v>10</v>
      </c>
      <c r="T59" s="165">
        <f>[51]Лист1!$D$27</f>
        <v>10</v>
      </c>
      <c r="U59" s="166">
        <f>[51]Лист1!$C$14</f>
        <v>9</v>
      </c>
      <c r="V59" s="167">
        <f>[51]Лист1!$D$14</f>
        <v>9</v>
      </c>
      <c r="W59" s="166"/>
      <c r="X59" s="167"/>
      <c r="Y59" s="166">
        <f>[44]Лист1!$C$22+[54]Лист1!$C$28</f>
        <v>10</v>
      </c>
      <c r="Z59" s="167">
        <f>[44]Лист1!$D$22+[54]Лист1!$D$28</f>
        <v>10</v>
      </c>
      <c r="AA59" s="166">
        <f>[33]Лист1!$C$29</f>
        <v>10</v>
      </c>
      <c r="AB59" s="167">
        <f>AA59</f>
        <v>10</v>
      </c>
      <c r="AC59" s="91">
        <f>[44]Лист1!$C$22+[54]Лист1!$C$28</f>
        <v>10</v>
      </c>
      <c r="AD59" s="163">
        <f>[44]Лист1!$C$22+[54]Лист1!$D$28</f>
        <v>10</v>
      </c>
    </row>
    <row r="60" spans="2:30" ht="16.5" thickBot="1">
      <c r="B60" s="11" t="s">
        <v>50</v>
      </c>
      <c r="C60" s="117">
        <v>10</v>
      </c>
      <c r="D60" s="152">
        <f t="shared" si="2"/>
        <v>3</v>
      </c>
      <c r="E60" s="153">
        <f t="shared" si="3"/>
        <v>4.8</v>
      </c>
      <c r="F60" s="154">
        <f t="shared" si="3"/>
        <v>4.8</v>
      </c>
      <c r="G60" s="169">
        <f t="shared" si="24"/>
        <v>48</v>
      </c>
      <c r="H60" s="19"/>
      <c r="I60" s="16">
        <f t="shared" si="15"/>
        <v>48</v>
      </c>
      <c r="J60" s="156">
        <f t="shared" si="16"/>
        <v>48</v>
      </c>
      <c r="K60" s="118">
        <f t="shared" ref="K60:AB60" si="25">K61</f>
        <v>0</v>
      </c>
      <c r="L60" s="118">
        <f t="shared" si="25"/>
        <v>0</v>
      </c>
      <c r="M60" s="118">
        <f t="shared" si="25"/>
        <v>0</v>
      </c>
      <c r="N60" s="118">
        <f t="shared" si="25"/>
        <v>0</v>
      </c>
      <c r="O60" s="118">
        <f t="shared" si="25"/>
        <v>0</v>
      </c>
      <c r="P60" s="118">
        <f t="shared" si="25"/>
        <v>0</v>
      </c>
      <c r="Q60" s="118">
        <f t="shared" si="25"/>
        <v>0</v>
      </c>
      <c r="R60" s="118">
        <f t="shared" si="25"/>
        <v>0</v>
      </c>
      <c r="S60" s="118">
        <f t="shared" si="25"/>
        <v>0</v>
      </c>
      <c r="T60" s="118">
        <f t="shared" si="25"/>
        <v>0</v>
      </c>
      <c r="U60" s="118">
        <f>U61</f>
        <v>0</v>
      </c>
      <c r="V60" s="118">
        <f>V61</f>
        <v>0</v>
      </c>
      <c r="W60" s="118">
        <f t="shared" si="25"/>
        <v>0</v>
      </c>
      <c r="X60" s="118">
        <f t="shared" si="25"/>
        <v>0</v>
      </c>
      <c r="Y60" s="118">
        <f>Y61</f>
        <v>24</v>
      </c>
      <c r="Z60" s="118">
        <f>Z61</f>
        <v>24</v>
      </c>
      <c r="AA60" s="118">
        <f t="shared" si="25"/>
        <v>0</v>
      </c>
      <c r="AB60" s="118">
        <f t="shared" si="25"/>
        <v>0</v>
      </c>
      <c r="AC60" s="118">
        <f>AC61</f>
        <v>24</v>
      </c>
      <c r="AD60" s="118">
        <f t="shared" ref="AD60" si="26">AD61</f>
        <v>24</v>
      </c>
    </row>
    <row r="61" spans="2:30" ht="15.6" customHeight="1" thickBot="1">
      <c r="B61" s="12" t="s">
        <v>169</v>
      </c>
      <c r="C61" s="132"/>
      <c r="D61" s="152">
        <f t="shared" ref="D61" si="27">C61*30/100</f>
        <v>0</v>
      </c>
      <c r="E61" s="153">
        <f t="shared" ref="E61" si="28">I61/10</f>
        <v>4.8</v>
      </c>
      <c r="F61" s="154">
        <f t="shared" ref="F61" si="29">J61/10</f>
        <v>4.8</v>
      </c>
      <c r="G61" s="168"/>
      <c r="H61" s="19">
        <f>E61/1000*122.9</f>
        <v>0.58992</v>
      </c>
      <c r="I61" s="16">
        <f t="shared" si="15"/>
        <v>48</v>
      </c>
      <c r="J61" s="156">
        <f t="shared" si="16"/>
        <v>48</v>
      </c>
      <c r="K61" s="91"/>
      <c r="L61" s="163"/>
      <c r="M61" s="91"/>
      <c r="N61" s="163"/>
      <c r="O61" s="91"/>
      <c r="P61" s="163"/>
      <c r="Q61" s="91"/>
      <c r="R61" s="163"/>
      <c r="S61" s="164"/>
      <c r="T61" s="165"/>
      <c r="U61" s="166"/>
      <c r="V61" s="167"/>
      <c r="W61" s="166"/>
      <c r="X61" s="167"/>
      <c r="Y61" s="166">
        <f>[54]Лист1!$C$26</f>
        <v>24</v>
      </c>
      <c r="Z61" s="167">
        <f>[54]Лист1!$D$26</f>
        <v>24</v>
      </c>
      <c r="AA61" s="166"/>
      <c r="AB61" s="167"/>
      <c r="AC61" s="91">
        <f>[54]Лист1!$C$26</f>
        <v>24</v>
      </c>
      <c r="AD61" s="163">
        <f>[54]Лист1!$D$26</f>
        <v>24</v>
      </c>
    </row>
    <row r="62" spans="2:30" ht="16.5" thickBot="1">
      <c r="B62" s="13" t="s">
        <v>51</v>
      </c>
      <c r="C62" s="117">
        <v>1</v>
      </c>
      <c r="D62" s="152">
        <f t="shared" si="2"/>
        <v>0.3</v>
      </c>
      <c r="E62" s="153">
        <f t="shared" si="3"/>
        <v>0.19</v>
      </c>
      <c r="F62" s="154">
        <f t="shared" si="3"/>
        <v>0.19</v>
      </c>
      <c r="G62" s="169">
        <f>F62*30/D62</f>
        <v>19</v>
      </c>
      <c r="H62" s="19">
        <f>E62/1000*564.4</f>
        <v>0.107236</v>
      </c>
      <c r="I62" s="16">
        <f t="shared" si="15"/>
        <v>1.9</v>
      </c>
      <c r="J62" s="156">
        <f t="shared" si="16"/>
        <v>1.9</v>
      </c>
      <c r="K62" s="91"/>
      <c r="L62" s="163"/>
      <c r="M62" s="91"/>
      <c r="N62" s="163"/>
      <c r="O62" s="91"/>
      <c r="P62" s="163"/>
      <c r="Q62" s="91">
        <f>[15]Лист1!$C$14</f>
        <v>0.9</v>
      </c>
      <c r="R62" s="163">
        <f>Q62</f>
        <v>0.9</v>
      </c>
      <c r="S62" s="164"/>
      <c r="T62" s="165"/>
      <c r="U62" s="166"/>
      <c r="V62" s="167"/>
      <c r="W62" s="166"/>
      <c r="X62" s="167"/>
      <c r="Y62" s="166"/>
      <c r="Z62" s="167"/>
      <c r="AA62" s="166">
        <f>[33]Лист1!$C$27</f>
        <v>1</v>
      </c>
      <c r="AB62" s="167">
        <f>AA62</f>
        <v>1</v>
      </c>
      <c r="AC62" s="91"/>
      <c r="AD62" s="163"/>
    </row>
    <row r="63" spans="2:30" ht="15.6" customHeight="1" thickBot="1">
      <c r="B63" s="13" t="s">
        <v>52</v>
      </c>
      <c r="C63" s="117">
        <v>1</v>
      </c>
      <c r="D63" s="152">
        <f t="shared" si="2"/>
        <v>0.3</v>
      </c>
      <c r="E63" s="153">
        <f t="shared" si="3"/>
        <v>0</v>
      </c>
      <c r="F63" s="154">
        <f t="shared" si="3"/>
        <v>0</v>
      </c>
      <c r="G63" s="169">
        <f t="shared" ref="G63:G68" si="30">F63*30/D63</f>
        <v>0</v>
      </c>
      <c r="H63" s="19">
        <f>E63/1000*287.2</f>
        <v>0</v>
      </c>
      <c r="I63" s="16">
        <f t="shared" si="15"/>
        <v>0</v>
      </c>
      <c r="J63" s="156">
        <f t="shared" si="16"/>
        <v>0</v>
      </c>
      <c r="K63" s="91"/>
      <c r="L63" s="163"/>
      <c r="M63" s="91"/>
      <c r="N63" s="163"/>
      <c r="O63" s="91"/>
      <c r="P63" s="163"/>
      <c r="Q63" s="91"/>
      <c r="R63" s="163"/>
      <c r="S63" s="164"/>
      <c r="T63" s="165"/>
      <c r="U63" s="166"/>
      <c r="V63" s="167"/>
      <c r="W63" s="166"/>
      <c r="X63" s="167"/>
      <c r="Y63" s="166"/>
      <c r="Z63" s="167"/>
      <c r="AA63" s="166"/>
      <c r="AB63" s="167"/>
      <c r="AC63" s="91"/>
      <c r="AD63" s="163"/>
    </row>
    <row r="64" spans="2:30" ht="16.5" thickBot="1">
      <c r="B64" s="13" t="s">
        <v>53</v>
      </c>
      <c r="C64" s="117">
        <v>2</v>
      </c>
      <c r="D64" s="152">
        <f t="shared" si="2"/>
        <v>0.6</v>
      </c>
      <c r="E64" s="153">
        <f t="shared" si="3"/>
        <v>0</v>
      </c>
      <c r="F64" s="154">
        <f t="shared" si="3"/>
        <v>0</v>
      </c>
      <c r="G64" s="169">
        <f t="shared" si="30"/>
        <v>0</v>
      </c>
      <c r="H64" s="19">
        <f>E64/1000*357.1</f>
        <v>0</v>
      </c>
      <c r="I64" s="16">
        <f t="shared" si="15"/>
        <v>0</v>
      </c>
      <c r="J64" s="156">
        <f t="shared" si="16"/>
        <v>0</v>
      </c>
      <c r="K64" s="91"/>
      <c r="L64" s="163"/>
      <c r="M64" s="91"/>
      <c r="N64" s="163"/>
      <c r="O64" s="91"/>
      <c r="P64" s="163"/>
      <c r="Q64" s="91"/>
      <c r="R64" s="163"/>
      <c r="S64" s="164"/>
      <c r="T64" s="165"/>
      <c r="U64" s="166"/>
      <c r="V64" s="167"/>
      <c r="W64" s="166"/>
      <c r="X64" s="167"/>
      <c r="Y64" s="166"/>
      <c r="Z64" s="167"/>
      <c r="AA64" s="166"/>
      <c r="AB64" s="167"/>
      <c r="AC64" s="91"/>
      <c r="AD64" s="163"/>
    </row>
    <row r="65" spans="2:30" ht="16.5" thickBot="1">
      <c r="B65" s="13" t="s">
        <v>54</v>
      </c>
      <c r="C65" s="117">
        <v>0.2</v>
      </c>
      <c r="D65" s="152">
        <f t="shared" si="2"/>
        <v>0.06</v>
      </c>
      <c r="E65" s="153">
        <f t="shared" si="3"/>
        <v>0</v>
      </c>
      <c r="F65" s="154">
        <f t="shared" si="3"/>
        <v>0</v>
      </c>
      <c r="G65" s="169">
        <f t="shared" si="30"/>
        <v>0</v>
      </c>
      <c r="H65" s="19">
        <f>F65/1000*127.3</f>
        <v>0</v>
      </c>
      <c r="I65" s="16">
        <f t="shared" si="15"/>
        <v>0</v>
      </c>
      <c r="J65" s="156">
        <f t="shared" si="16"/>
        <v>0</v>
      </c>
      <c r="K65" s="91"/>
      <c r="L65" s="163"/>
      <c r="M65" s="91"/>
      <c r="N65" s="163"/>
      <c r="O65" s="91"/>
      <c r="P65" s="163"/>
      <c r="Q65" s="91"/>
      <c r="R65" s="163"/>
      <c r="S65" s="164"/>
      <c r="T65" s="165"/>
      <c r="U65" s="166"/>
      <c r="V65" s="167"/>
      <c r="W65" s="166"/>
      <c r="X65" s="167"/>
      <c r="Y65" s="166"/>
      <c r="Z65" s="167"/>
      <c r="AA65" s="166"/>
      <c r="AB65" s="167"/>
      <c r="AC65" s="91"/>
      <c r="AD65" s="163"/>
    </row>
    <row r="66" spans="2:30" ht="16.5" thickBot="1">
      <c r="B66" s="13" t="s">
        <v>55</v>
      </c>
      <c r="C66" s="117">
        <v>3</v>
      </c>
      <c r="D66" s="152">
        <f t="shared" si="2"/>
        <v>0.9</v>
      </c>
      <c r="E66" s="153">
        <f t="shared" si="3"/>
        <v>1.6</v>
      </c>
      <c r="F66" s="154">
        <f t="shared" si="3"/>
        <v>1.6</v>
      </c>
      <c r="G66" s="169">
        <f t="shared" si="30"/>
        <v>53.333333333333329</v>
      </c>
      <c r="H66" s="19">
        <f>F66/1000*114.4</f>
        <v>0.18304000000000001</v>
      </c>
      <c r="I66" s="16">
        <f t="shared" si="15"/>
        <v>16</v>
      </c>
      <c r="J66" s="156">
        <f t="shared" si="16"/>
        <v>16</v>
      </c>
      <c r="K66" s="91"/>
      <c r="L66" s="163"/>
      <c r="M66" s="91"/>
      <c r="N66" s="163"/>
      <c r="O66" s="91"/>
      <c r="P66" s="163"/>
      <c r="Q66" s="91"/>
      <c r="R66" s="163"/>
      <c r="S66" s="164"/>
      <c r="T66" s="165"/>
      <c r="U66" s="166"/>
      <c r="V66" s="167"/>
      <c r="W66" s="166"/>
      <c r="X66" s="167"/>
      <c r="Y66" s="166">
        <f>[54]Лист1!$C$29</f>
        <v>8</v>
      </c>
      <c r="Z66" s="167">
        <f>[54]Лист1!$D$29</f>
        <v>8</v>
      </c>
      <c r="AA66" s="166"/>
      <c r="AB66" s="167"/>
      <c r="AC66" s="91">
        <f>[54]Лист1!$C$29</f>
        <v>8</v>
      </c>
      <c r="AD66" s="163">
        <f>[54]Лист1!$C$29</f>
        <v>8</v>
      </c>
    </row>
    <row r="67" spans="2:30" ht="16.149999999999999" customHeight="1" thickBot="1">
      <c r="B67" s="13" t="s">
        <v>56</v>
      </c>
      <c r="C67" s="117">
        <v>3</v>
      </c>
      <c r="D67" s="152">
        <f t="shared" si="2"/>
        <v>0.9</v>
      </c>
      <c r="E67" s="153">
        <f t="shared" si="3"/>
        <v>2.4191697826086953</v>
      </c>
      <c r="F67" s="154">
        <f t="shared" si="3"/>
        <v>2.4191697826086953</v>
      </c>
      <c r="G67" s="169">
        <f t="shared" si="30"/>
        <v>80.638992753623171</v>
      </c>
      <c r="H67" s="19">
        <f>F67/1000*13.5</f>
        <v>3.2658792065217386E-2</v>
      </c>
      <c r="I67" s="16">
        <f t="shared" si="15"/>
        <v>24.191697826086955</v>
      </c>
      <c r="J67" s="156">
        <f t="shared" si="16"/>
        <v>24.191697826086955</v>
      </c>
      <c r="K67" s="91">
        <f>[40]Лист1!$C$18+[2]Лист1!$C$16+[3]Лист1!$C$15</f>
        <v>2.0337499999999999</v>
      </c>
      <c r="L67" s="163">
        <f>[40]Лист1!$D$18+[2]Лист1!$D$16+[3]Лист1!$D$15</f>
        <v>2.0337499999999999</v>
      </c>
      <c r="M67" s="91">
        <f>[38]Лист1!$C$18+[46]Лист1!$C$29+[41]Лист1!$C$33</f>
        <v>2.3043478260869565</v>
      </c>
      <c r="N67" s="163">
        <f>[38]Лист1!$D$18+[46]Лист1!$D$29+[41]Лист1!$D$33</f>
        <v>2.3043478260869565</v>
      </c>
      <c r="O67" s="91">
        <f>[42]Лист1!$C$31+[48]Лист1!$C$40+[55]Лист1!$C$16</f>
        <v>1.861</v>
      </c>
      <c r="P67" s="163">
        <f>O67</f>
        <v>1.861</v>
      </c>
      <c r="Q67" s="91">
        <f>[35]Лист1!$C$20+[13]Лист1!$C$18</f>
        <v>2.7</v>
      </c>
      <c r="R67" s="163">
        <f>[35]Лист1!$C$20+[13]Лист1!$D$18</f>
        <v>2.7</v>
      </c>
      <c r="S67" s="164">
        <f>[36]Лист1!$C$33+[18]Лист1!$C$30+[19]Лист1!$C$20+[20]Лист1!$C$39</f>
        <v>3.4000000000000004</v>
      </c>
      <c r="T67" s="165">
        <f>S67</f>
        <v>3.4000000000000004</v>
      </c>
      <c r="U67" s="166">
        <f>[43]Лист1!$C$15+[19]Лист1!$C$20+[49]Лист1!$C$15+[22]Лист1!$C$32</f>
        <v>2.7749999999999999</v>
      </c>
      <c r="V67" s="167">
        <f>[43]Лист1!$D$15+[19]Лист1!$D$20+[49]Лист1!$D$15+[22]Лист1!$D$32</f>
        <v>2.7749999999999999</v>
      </c>
      <c r="W67" s="166">
        <f>[38]Лист1!$C$18+[46]Лист1!$C$29+[26]Лист1!$C$22</f>
        <v>2.2995999999999999</v>
      </c>
      <c r="X67" s="167">
        <f>[38]Лист1!$D$18+[46]Лист1!$D$29+[26]Лист1!$D$22</f>
        <v>2.2995999999999999</v>
      </c>
      <c r="Y67" s="166">
        <f>[44]Лист1!$C$23+[46]Лист1!$C$29</f>
        <v>1.6</v>
      </c>
      <c r="Z67" s="167">
        <f>[44]Лист1!$D$23+[46]Лист1!$D$29</f>
        <v>1.6</v>
      </c>
      <c r="AA67" s="166">
        <f>[31]Лист1!$C$25+[32]Лист1!$C$16</f>
        <v>0.73799999999999999</v>
      </c>
      <c r="AB67" s="167">
        <f>[31]Лист1!$D$25+[32]Лист1!$D$16</f>
        <v>0.73799999999999999</v>
      </c>
      <c r="AC67" s="91">
        <f>[44]Лист1!$C$23+[46]Лист1!$C$29+[39]Лист1!$C$27</f>
        <v>4.4800000000000004</v>
      </c>
      <c r="AD67" s="163">
        <f>[44]Лист1!$C$23+[46]Лист1!$D$29+[39]Лист1!$D$27</f>
        <v>4.4800000000000004</v>
      </c>
    </row>
    <row r="68" spans="2:30" ht="16.5" thickBot="1">
      <c r="B68" s="15" t="s">
        <v>57</v>
      </c>
      <c r="C68" s="120">
        <v>2</v>
      </c>
      <c r="D68" s="152">
        <f t="shared" si="2"/>
        <v>0.6</v>
      </c>
      <c r="E68" s="183">
        <f t="shared" si="3"/>
        <v>0.13695000000000002</v>
      </c>
      <c r="F68" s="184">
        <f t="shared" si="3"/>
        <v>0.13695000000000002</v>
      </c>
      <c r="G68" s="169">
        <f t="shared" si="30"/>
        <v>6.847500000000001</v>
      </c>
      <c r="H68" s="144">
        <f>F68/1000*49.9</f>
        <v>6.833805000000001E-3</v>
      </c>
      <c r="I68" s="145">
        <f t="shared" si="15"/>
        <v>1.3695000000000002</v>
      </c>
      <c r="J68" s="185">
        <f t="shared" si="16"/>
        <v>1.3695000000000002</v>
      </c>
      <c r="K68" s="93"/>
      <c r="L68" s="186"/>
      <c r="M68" s="93"/>
      <c r="N68" s="186"/>
      <c r="O68" s="93"/>
      <c r="P68" s="186"/>
      <c r="Q68" s="93">
        <f>[35]Лист1!$C$21</f>
        <v>1.95E-2</v>
      </c>
      <c r="R68" s="186">
        <f>[35]Лист1!$D$21</f>
        <v>1.95E-2</v>
      </c>
      <c r="S68" s="187"/>
      <c r="T68" s="188"/>
      <c r="U68" s="189"/>
      <c r="V68" s="190"/>
      <c r="W68" s="189"/>
      <c r="X68" s="190"/>
      <c r="Y68" s="189"/>
      <c r="Z68" s="190"/>
      <c r="AA68" s="189">
        <f>[31]Лист1!$C$24</f>
        <v>1.35</v>
      </c>
      <c r="AB68" s="190">
        <f>[31]Лист1!$D$24</f>
        <v>1.35</v>
      </c>
      <c r="AC68" s="93"/>
      <c r="AD68" s="186"/>
    </row>
    <row r="69" spans="2:30" ht="15.75" thickBot="1">
      <c r="D69" s="3"/>
      <c r="E69" s="3"/>
      <c r="F69" s="3"/>
      <c r="G69" s="135" t="s">
        <v>66</v>
      </c>
      <c r="H69" s="136">
        <f>SUM(H4:H68)</f>
        <v>79.684766482373178</v>
      </c>
    </row>
  </sheetData>
  <mergeCells count="10">
    <mergeCell ref="B1:Q1"/>
    <mergeCell ref="G2:G3"/>
    <mergeCell ref="B2:B3"/>
    <mergeCell ref="C2:C3"/>
    <mergeCell ref="D2:D3"/>
    <mergeCell ref="E2:E3"/>
    <mergeCell ref="F2:F3"/>
    <mergeCell ref="H2:H3"/>
    <mergeCell ref="I2:I3"/>
    <mergeCell ref="J2:J3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"/>
  <sheetViews>
    <sheetView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2" sqref="K22"/>
    </sheetView>
  </sheetViews>
  <sheetFormatPr defaultRowHeight="12.75"/>
  <cols>
    <col min="1" max="1" width="9.140625" style="7" customWidth="1"/>
    <col min="2" max="2" width="5.5703125" style="7" customWidth="1"/>
    <col min="3" max="3" width="9.140625" style="7" customWidth="1"/>
    <col min="4" max="4" width="10.28515625" style="7" bestFit="1" customWidth="1"/>
    <col min="5" max="5" width="9.140625" style="7" customWidth="1"/>
    <col min="6" max="6" width="10.28515625" style="7" bestFit="1" customWidth="1"/>
    <col min="7" max="7" width="9.140625" style="7" customWidth="1"/>
    <col min="8" max="14" width="10.28515625" style="7" bestFit="1" customWidth="1"/>
    <col min="15" max="15" width="9.140625" style="7"/>
  </cols>
  <sheetData>
    <row r="1" spans="1:16" ht="30" customHeight="1" thickBot="1">
      <c r="A1" s="265" t="s">
        <v>132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</row>
    <row r="2" spans="1:16" ht="24" customHeight="1">
      <c r="A2" s="267"/>
      <c r="B2" s="269" t="s">
        <v>81</v>
      </c>
      <c r="C2" s="224" t="s">
        <v>108</v>
      </c>
      <c r="D2" s="224" t="s">
        <v>110</v>
      </c>
      <c r="E2" s="224" t="s">
        <v>111</v>
      </c>
      <c r="F2" s="224" t="s">
        <v>112</v>
      </c>
      <c r="G2" s="224" t="s">
        <v>109</v>
      </c>
      <c r="H2" s="219" t="s">
        <v>0</v>
      </c>
      <c r="I2" s="220"/>
      <c r="J2" s="220"/>
      <c r="K2" s="221"/>
      <c r="L2" s="219" t="s">
        <v>5</v>
      </c>
      <c r="M2" s="220"/>
      <c r="N2" s="220"/>
      <c r="O2" s="271"/>
      <c r="P2" s="6"/>
    </row>
    <row r="3" spans="1:16" ht="13.5" thickBot="1">
      <c r="A3" s="268"/>
      <c r="B3" s="270"/>
      <c r="C3" s="225"/>
      <c r="D3" s="225"/>
      <c r="E3" s="225"/>
      <c r="F3" s="225"/>
      <c r="G3" s="225"/>
      <c r="H3" s="77" t="s">
        <v>1</v>
      </c>
      <c r="I3" s="77" t="s">
        <v>2</v>
      </c>
      <c r="J3" s="77" t="s">
        <v>3</v>
      </c>
      <c r="K3" s="77" t="s">
        <v>4</v>
      </c>
      <c r="L3" s="78" t="s">
        <v>6</v>
      </c>
      <c r="M3" s="77" t="s">
        <v>7</v>
      </c>
      <c r="N3" s="77" t="s">
        <v>8</v>
      </c>
      <c r="O3" s="82" t="s">
        <v>9</v>
      </c>
      <c r="P3" s="6"/>
    </row>
    <row r="4" spans="1:16" ht="13.5" thickBot="1">
      <c r="A4" s="79" t="s">
        <v>80</v>
      </c>
      <c r="B4" s="76">
        <v>1</v>
      </c>
      <c r="C4" s="80">
        <f>'1день'!D15</f>
        <v>720</v>
      </c>
      <c r="D4" s="80">
        <f>'1день'!E15</f>
        <v>31.950416666666662</v>
      </c>
      <c r="E4" s="80">
        <f>'1день'!F15</f>
        <v>32.978291666666664</v>
      </c>
      <c r="F4" s="80">
        <f>'1день'!G15</f>
        <v>72.706041666666664</v>
      </c>
      <c r="G4" s="80">
        <f>'1день'!H15</f>
        <v>717.12124999999992</v>
      </c>
      <c r="H4" s="80">
        <f>'1день'!I15</f>
        <v>0.36882500000000001</v>
      </c>
      <c r="I4" s="80">
        <f>'1день'!J15</f>
        <v>16.031374999999997</v>
      </c>
      <c r="J4" s="80">
        <f>'1день'!K15</f>
        <v>271.85395833333337</v>
      </c>
      <c r="K4" s="80">
        <f>'1день'!L15</f>
        <v>2.5784166666666666</v>
      </c>
      <c r="L4" s="80">
        <f>'1день'!M15</f>
        <v>197.89249999999998</v>
      </c>
      <c r="M4" s="80">
        <f>'1день'!N15</f>
        <v>462.50662499999999</v>
      </c>
      <c r="N4" s="80">
        <f>'1день'!O15</f>
        <v>95.947083333333325</v>
      </c>
      <c r="O4" s="81">
        <f>'1день'!P15</f>
        <v>10.072083333333332</v>
      </c>
    </row>
    <row r="5" spans="1:16" ht="13.5" thickBot="1">
      <c r="A5" s="83" t="s">
        <v>80</v>
      </c>
      <c r="B5" s="84">
        <v>2</v>
      </c>
      <c r="C5" s="85">
        <f>'2 день'!D14</f>
        <v>710</v>
      </c>
      <c r="D5" s="85">
        <f>'2 день'!E14</f>
        <v>33.345173913043482</v>
      </c>
      <c r="E5" s="85">
        <f>'2 день'!F14</f>
        <v>24.855739130434785</v>
      </c>
      <c r="F5" s="85">
        <f>'2 день'!G14</f>
        <v>86.903608695652196</v>
      </c>
      <c r="G5" s="85">
        <f>'2 день'!H14</f>
        <v>705.0847826086956</v>
      </c>
      <c r="H5" s="85">
        <f>'2 день'!I14</f>
        <v>0.56666666666666665</v>
      </c>
      <c r="I5" s="85">
        <f>'2 день'!J14</f>
        <v>18.917913043478261</v>
      </c>
      <c r="J5" s="85">
        <f>'2 день'!K14</f>
        <v>31.652173913043477</v>
      </c>
      <c r="K5" s="85">
        <f>'2 день'!L14</f>
        <v>3.2378260869565221</v>
      </c>
      <c r="L5" s="85">
        <f>'2 день'!M14</f>
        <v>127.94452173913044</v>
      </c>
      <c r="M5" s="85">
        <f>'2 день'!N14</f>
        <v>377.28191304347826</v>
      </c>
      <c r="N5" s="85">
        <f>'2 день'!O14</f>
        <v>125.61913043478262</v>
      </c>
      <c r="O5" s="86">
        <f>'2 день'!P14</f>
        <v>10.840492753623188</v>
      </c>
    </row>
    <row r="6" spans="1:16" ht="13.5" thickBot="1">
      <c r="A6" s="79" t="s">
        <v>80</v>
      </c>
      <c r="B6" s="76">
        <v>3</v>
      </c>
      <c r="C6" s="80">
        <f>'3 день '!D15</f>
        <v>780</v>
      </c>
      <c r="D6" s="80">
        <f>'3 день '!E15</f>
        <v>26.531666666666666</v>
      </c>
      <c r="E6" s="80">
        <f>'3 день '!F15</f>
        <v>22.668166666666668</v>
      </c>
      <c r="F6" s="80">
        <f>'3 день '!G15</f>
        <v>98.487499999999997</v>
      </c>
      <c r="G6" s="80">
        <f>'3 день '!H15</f>
        <v>705.75333333333333</v>
      </c>
      <c r="H6" s="80">
        <f>'3 день '!I15</f>
        <v>0.47325</v>
      </c>
      <c r="I6" s="80">
        <f>'3 день '!J15</f>
        <v>18.854999999999997</v>
      </c>
      <c r="J6" s="80">
        <f>'3 день '!K15</f>
        <v>47.908333333333339</v>
      </c>
      <c r="K6" s="80">
        <f>'3 день '!L15</f>
        <v>2.4651999999999998</v>
      </c>
      <c r="L6" s="80">
        <f>'3 день '!M15</f>
        <v>102.0675</v>
      </c>
      <c r="M6" s="80">
        <f>'3 день '!N15</f>
        <v>425.65499999999997</v>
      </c>
      <c r="N6" s="80">
        <f>'3 день '!O15</f>
        <v>130.14750000000001</v>
      </c>
      <c r="O6" s="80">
        <f>'3 день '!P15</f>
        <v>8.8367500000000003</v>
      </c>
    </row>
    <row r="7" spans="1:16" ht="13.5" thickBot="1">
      <c r="A7" s="83" t="s">
        <v>80</v>
      </c>
      <c r="B7" s="84">
        <v>4</v>
      </c>
      <c r="C7" s="85">
        <f>'4 день  '!D14</f>
        <v>720</v>
      </c>
      <c r="D7" s="85">
        <f>'4 день  '!E14</f>
        <v>41.449999999999996</v>
      </c>
      <c r="E7" s="85">
        <f>'4 день  '!F14</f>
        <v>21.796666666666667</v>
      </c>
      <c r="F7" s="85">
        <f>'4 день  '!G14</f>
        <v>89.859166666666667</v>
      </c>
      <c r="G7" s="85">
        <f>'4 день  '!H14</f>
        <v>722.8841666666666</v>
      </c>
      <c r="H7" s="85">
        <f>'4 день  '!I14</f>
        <v>0.38816666666666672</v>
      </c>
      <c r="I7" s="85">
        <f>'4 день  '!J14</f>
        <v>10.7</v>
      </c>
      <c r="J7" s="85">
        <f>'4 день  '!K14</f>
        <v>93.20474999999999</v>
      </c>
      <c r="K7" s="85">
        <f>'4 день  '!L14</f>
        <v>1.823</v>
      </c>
      <c r="L7" s="85">
        <f>'4 день  '!M14</f>
        <v>444.55025000000001</v>
      </c>
      <c r="M7" s="85">
        <f>'4 день  '!N14</f>
        <v>554.01750000000004</v>
      </c>
      <c r="N7" s="85">
        <f>'4 день  '!O14</f>
        <v>109.72450000000001</v>
      </c>
      <c r="O7" s="86">
        <f>'4 день  '!P14</f>
        <v>4.7283333333333335</v>
      </c>
    </row>
    <row r="8" spans="1:16" ht="13.5" thickBot="1">
      <c r="A8" s="79" t="s">
        <v>80</v>
      </c>
      <c r="B8" s="75">
        <v>5</v>
      </c>
      <c r="C8" s="80">
        <f>'5 день'!D15</f>
        <v>835</v>
      </c>
      <c r="D8" s="80">
        <f>'5 день'!E15</f>
        <v>33.428333333333335</v>
      </c>
      <c r="E8" s="80">
        <f>'5 день'!F15</f>
        <v>22.58</v>
      </c>
      <c r="F8" s="80">
        <f>'5 день'!G15</f>
        <v>97.685000000000002</v>
      </c>
      <c r="G8" s="80">
        <f>'5 день'!H15</f>
        <v>724.01666666666665</v>
      </c>
      <c r="H8" s="80">
        <f>'5 день'!I15</f>
        <v>0.59583333333333321</v>
      </c>
      <c r="I8" s="80">
        <f>'5 день'!J15</f>
        <v>15.824999999999999</v>
      </c>
      <c r="J8" s="80">
        <f>'5 день'!K15</f>
        <v>87.583333333333329</v>
      </c>
      <c r="K8" s="80">
        <f>'5 день'!L15</f>
        <v>4.788333333333334</v>
      </c>
      <c r="L8" s="80">
        <f>'5 день'!M15</f>
        <v>199.06666666666666</v>
      </c>
      <c r="M8" s="80">
        <f>'5 день'!N15</f>
        <v>461.81666666666666</v>
      </c>
      <c r="N8" s="80">
        <f>'5 день'!O15</f>
        <v>141.82499999999999</v>
      </c>
      <c r="O8" s="80">
        <f>'5 день'!P15</f>
        <v>6.7983333333333329</v>
      </c>
    </row>
    <row r="9" spans="1:16" ht="13.5" thickBot="1">
      <c r="A9" s="83" t="s">
        <v>80</v>
      </c>
      <c r="B9" s="84">
        <v>6</v>
      </c>
      <c r="C9" s="85">
        <f>'6 день '!D14</f>
        <v>840</v>
      </c>
      <c r="D9" s="85">
        <f>'6 день '!E14</f>
        <v>25.268333333333334</v>
      </c>
      <c r="E9" s="85">
        <f>'6 день '!F14</f>
        <v>23.04</v>
      </c>
      <c r="F9" s="85">
        <f>'6 день '!G14</f>
        <v>100.88000000000001</v>
      </c>
      <c r="G9" s="85">
        <f>'6 день '!H14</f>
        <v>710.05166666666662</v>
      </c>
      <c r="H9" s="85">
        <f>'6 день '!I14</f>
        <v>0.41883333333333328</v>
      </c>
      <c r="I9" s="85">
        <f>'6 день '!J14</f>
        <v>35.69</v>
      </c>
      <c r="J9" s="85">
        <f>'6 день '!K14</f>
        <v>17.333333333333332</v>
      </c>
      <c r="K9" s="85">
        <f>'6 день '!L14</f>
        <v>9.8163333333333327</v>
      </c>
      <c r="L9" s="85">
        <f>'6 день '!M14</f>
        <v>177.15166666666667</v>
      </c>
      <c r="M9" s="85">
        <f>'6 день '!N14</f>
        <v>402.65916666666664</v>
      </c>
      <c r="N9" s="85">
        <f>'6 день '!O14</f>
        <v>134.13749999999999</v>
      </c>
      <c r="O9" s="86">
        <f>'6 день '!P14</f>
        <v>6.14</v>
      </c>
    </row>
    <row r="10" spans="1:16" ht="13.5" thickBot="1">
      <c r="A10" s="79" t="s">
        <v>80</v>
      </c>
      <c r="B10" s="76">
        <v>7</v>
      </c>
      <c r="C10" s="80">
        <f>'7 день'!D14</f>
        <v>705</v>
      </c>
      <c r="D10" s="80">
        <f>'7 день'!E14</f>
        <v>32.974000000000004</v>
      </c>
      <c r="E10" s="80">
        <f>'7 день'!F14</f>
        <v>28.532</v>
      </c>
      <c r="F10" s="80">
        <f>'7 день'!G14</f>
        <v>80.181999999999988</v>
      </c>
      <c r="G10" s="80">
        <f>'7 день'!H14</f>
        <v>709.596</v>
      </c>
      <c r="H10" s="80">
        <f>'7 день'!I14</f>
        <v>0.5158666666666667</v>
      </c>
      <c r="I10" s="80">
        <f>'7 день'!J14</f>
        <v>20.58</v>
      </c>
      <c r="J10" s="80">
        <f>'7 день'!K14</f>
        <v>96.911500000000004</v>
      </c>
      <c r="K10" s="80">
        <f>'7 день'!L14</f>
        <v>4.3170000000000002</v>
      </c>
      <c r="L10" s="80">
        <f>'7 день'!M14</f>
        <v>121.47399999999999</v>
      </c>
      <c r="M10" s="80">
        <f>'7 день'!N14</f>
        <v>322.56799999999998</v>
      </c>
      <c r="N10" s="80">
        <f>'7 день'!O14</f>
        <v>115.83000000000001</v>
      </c>
      <c r="O10" s="80">
        <f>'7 день'!P14</f>
        <v>11.356999999999999</v>
      </c>
    </row>
    <row r="11" spans="1:16" ht="13.5" thickBot="1">
      <c r="A11" s="83" t="s">
        <v>80</v>
      </c>
      <c r="B11" s="84">
        <v>8</v>
      </c>
      <c r="C11" s="85">
        <f>'8 день '!D14</f>
        <v>720</v>
      </c>
      <c r="D11" s="85">
        <f>'8 день '!E14</f>
        <v>28.652999999999999</v>
      </c>
      <c r="E11" s="85">
        <f>'8 день '!F14</f>
        <v>33.134</v>
      </c>
      <c r="F11" s="85">
        <f>'8 день '!G14</f>
        <v>77.265000000000001</v>
      </c>
      <c r="G11" s="85">
        <f>'8 день '!H14</f>
        <v>721.09999999999991</v>
      </c>
      <c r="H11" s="85">
        <f>'8 день '!I14</f>
        <v>0.26692000000000005</v>
      </c>
      <c r="I11" s="85">
        <f>'8 день '!J14</f>
        <v>20.834000000000003</v>
      </c>
      <c r="J11" s="85">
        <f>'8 день '!K14</f>
        <v>22.8</v>
      </c>
      <c r="K11" s="85">
        <f>'8 день '!L14</f>
        <v>4.79</v>
      </c>
      <c r="L11" s="85">
        <f>'8 день '!M14</f>
        <v>81.408000000000001</v>
      </c>
      <c r="M11" s="85">
        <f>'8 день '!N14</f>
        <v>251.95300000000003</v>
      </c>
      <c r="N11" s="85">
        <f>'8 день '!O14</f>
        <v>82.830000000000013</v>
      </c>
      <c r="O11" s="86">
        <f>'8 день '!P14</f>
        <v>5.4169999999999998</v>
      </c>
    </row>
    <row r="12" spans="1:16" ht="13.5" thickBot="1">
      <c r="A12" s="79" t="s">
        <v>80</v>
      </c>
      <c r="B12" s="76">
        <v>9</v>
      </c>
      <c r="C12" s="80">
        <f>'9 день '!D14</f>
        <v>710</v>
      </c>
      <c r="D12" s="80">
        <f>'9 день '!E14</f>
        <v>34.851000000000006</v>
      </c>
      <c r="E12" s="80">
        <f>'9 день '!F14</f>
        <v>26.198666666666668</v>
      </c>
      <c r="F12" s="80">
        <f>'9 день '!G14</f>
        <v>84.609000000000009</v>
      </c>
      <c r="G12" s="80">
        <f>'9 день '!H14</f>
        <v>711.65</v>
      </c>
      <c r="H12" s="80">
        <f>'9 день '!I14</f>
        <v>0.51553333333333329</v>
      </c>
      <c r="I12" s="80">
        <f>'9 день '!J14</f>
        <v>11.45</v>
      </c>
      <c r="J12" s="80">
        <f>'9 день '!K14</f>
        <v>146.87799999999999</v>
      </c>
      <c r="K12" s="80">
        <f>'9 день '!L14</f>
        <v>5.4201999999999995</v>
      </c>
      <c r="L12" s="80">
        <f>'9 день '!M14</f>
        <v>346.94799999999992</v>
      </c>
      <c r="M12" s="80">
        <f>'9 день '!N14</f>
        <v>523.86799999999994</v>
      </c>
      <c r="N12" s="80">
        <f>'9 день '!O14</f>
        <v>134.04400000000001</v>
      </c>
      <c r="O12" s="80">
        <f>'9 день '!P14</f>
        <v>5.5923333333333334</v>
      </c>
    </row>
    <row r="13" spans="1:16" ht="13.5" thickBot="1">
      <c r="A13" s="8" t="s">
        <v>80</v>
      </c>
      <c r="B13" s="75">
        <v>10</v>
      </c>
      <c r="C13" s="9">
        <f>'10 день '!D14</f>
        <v>740</v>
      </c>
      <c r="D13" s="9">
        <f>'10 день '!E14</f>
        <v>23.722999999999999</v>
      </c>
      <c r="E13" s="9">
        <f>'10 день '!F14</f>
        <v>22.933999999999997</v>
      </c>
      <c r="F13" s="9">
        <f>'10 день '!G14</f>
        <v>102.855</v>
      </c>
      <c r="G13" s="9">
        <f>'10 день '!H14</f>
        <v>713.4</v>
      </c>
      <c r="H13" s="9">
        <f>'10 день '!I14</f>
        <v>0.30891999999999997</v>
      </c>
      <c r="I13" s="9">
        <f>'10 день '!J14</f>
        <v>14.924000000000001</v>
      </c>
      <c r="J13" s="9">
        <f>'10 день '!K14</f>
        <v>76.010000000000005</v>
      </c>
      <c r="K13" s="9">
        <f>'10 день '!L14</f>
        <v>5.57</v>
      </c>
      <c r="L13" s="9">
        <f>'10 день '!M14</f>
        <v>286.15799999999996</v>
      </c>
      <c r="M13" s="9">
        <f>'10 день '!N14</f>
        <v>330.94300000000004</v>
      </c>
      <c r="N13" s="9">
        <f>'10 день '!O14</f>
        <v>88.990000000000009</v>
      </c>
      <c r="O13" s="9">
        <f>'10 день '!P14</f>
        <v>5.5791999999999984</v>
      </c>
    </row>
    <row r="14" spans="1:16" ht="30.6" customHeight="1" thickBot="1">
      <c r="A14" s="263" t="s">
        <v>82</v>
      </c>
      <c r="B14" s="264"/>
      <c r="C14" s="121">
        <f t="shared" ref="C14:O14" si="0">(C4+C5+C6+C7+C8+C11+C10+C9+C12+C13)/10</f>
        <v>748</v>
      </c>
      <c r="D14" s="122">
        <f t="shared" si="0"/>
        <v>31.217492391304354</v>
      </c>
      <c r="E14" s="122">
        <f t="shared" si="0"/>
        <v>25.871753079710139</v>
      </c>
      <c r="F14" s="122">
        <f t="shared" si="0"/>
        <v>89.143231702898561</v>
      </c>
      <c r="G14" s="122">
        <f t="shared" si="0"/>
        <v>714.06578659420268</v>
      </c>
      <c r="H14" s="122">
        <f t="shared" si="0"/>
        <v>0.44188149999999993</v>
      </c>
      <c r="I14" s="122">
        <f t="shared" si="0"/>
        <v>18.380728804347825</v>
      </c>
      <c r="J14" s="122">
        <f t="shared" si="0"/>
        <v>89.213538224637688</v>
      </c>
      <c r="K14" s="122">
        <f t="shared" si="0"/>
        <v>4.480630942028986</v>
      </c>
      <c r="L14" s="122">
        <f t="shared" si="0"/>
        <v>208.46611050724633</v>
      </c>
      <c r="M14" s="122">
        <f t="shared" si="0"/>
        <v>411.32688713768118</v>
      </c>
      <c r="N14" s="122">
        <f t="shared" si="0"/>
        <v>115.90947137681162</v>
      </c>
      <c r="O14" s="123">
        <f t="shared" si="0"/>
        <v>7.5361526086956516</v>
      </c>
    </row>
    <row r="15" spans="1:16" ht="37.5" customHeight="1" thickBot="1">
      <c r="A15" s="259" t="s">
        <v>115</v>
      </c>
      <c r="B15" s="260"/>
      <c r="C15" s="87"/>
      <c r="D15" s="88">
        <v>77</v>
      </c>
      <c r="E15" s="88">
        <v>79</v>
      </c>
      <c r="F15" s="88">
        <v>335</v>
      </c>
      <c r="G15" s="89">
        <v>2350</v>
      </c>
      <c r="H15" s="89">
        <v>1.2</v>
      </c>
      <c r="I15" s="89">
        <v>60</v>
      </c>
      <c r="J15" s="89">
        <v>700</v>
      </c>
      <c r="K15" s="89">
        <v>20</v>
      </c>
      <c r="L15" s="89">
        <v>1100</v>
      </c>
      <c r="M15" s="89">
        <v>1100</v>
      </c>
      <c r="N15" s="89">
        <v>250</v>
      </c>
      <c r="O15" s="89">
        <v>12</v>
      </c>
    </row>
    <row r="16" spans="1:16" ht="39.75" customHeight="1" thickBot="1">
      <c r="A16" s="261" t="s">
        <v>120</v>
      </c>
      <c r="B16" s="262"/>
      <c r="C16" s="124">
        <f>C14</f>
        <v>748</v>
      </c>
      <c r="D16" s="125">
        <f>D14*100/D15</f>
        <v>40.542197910784878</v>
      </c>
      <c r="E16" s="125">
        <f>E14*100/E15</f>
        <v>32.749054531278652</v>
      </c>
      <c r="F16" s="125">
        <f>F14*100/F15</f>
        <v>26.609919911313003</v>
      </c>
      <c r="G16" s="126">
        <f>G14*100/G15</f>
        <v>30.385778152944795</v>
      </c>
      <c r="H16" s="126">
        <f t="shared" ref="H16:O16" si="1">H14*100/H15</f>
        <v>36.823458333333328</v>
      </c>
      <c r="I16" s="126">
        <f t="shared" si="1"/>
        <v>30.634548007246376</v>
      </c>
      <c r="J16" s="126">
        <f t="shared" si="1"/>
        <v>12.74479117494824</v>
      </c>
      <c r="K16" s="126">
        <f t="shared" si="1"/>
        <v>22.403154710144928</v>
      </c>
      <c r="L16" s="126">
        <f t="shared" si="1"/>
        <v>18.951464591567849</v>
      </c>
      <c r="M16" s="126">
        <f t="shared" si="1"/>
        <v>37.393353376152838</v>
      </c>
      <c r="N16" s="126">
        <f t="shared" si="1"/>
        <v>46.363788550724649</v>
      </c>
      <c r="O16" s="126">
        <f t="shared" si="1"/>
        <v>62.801271739130435</v>
      </c>
    </row>
  </sheetData>
  <mergeCells count="13">
    <mergeCell ref="A15:B15"/>
    <mergeCell ref="A16:B16"/>
    <mergeCell ref="A14:B14"/>
    <mergeCell ref="A1:O1"/>
    <mergeCell ref="A2:A3"/>
    <mergeCell ref="B2:B3"/>
    <mergeCell ref="F2:F3"/>
    <mergeCell ref="C2:C3"/>
    <mergeCell ref="D2:D3"/>
    <mergeCell ref="E2:E3"/>
    <mergeCell ref="G2:G3"/>
    <mergeCell ref="H2:K2"/>
    <mergeCell ref="L2:O2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3"/>
  <sheetViews>
    <sheetView zoomScale="80" zoomScaleNormal="80" workbookViewId="0">
      <selection activeCell="G19" sqref="G19"/>
    </sheetView>
  </sheetViews>
  <sheetFormatPr defaultRowHeight="12.75"/>
  <cols>
    <col min="1" max="1" width="9.140625" style="4"/>
    <col min="2" max="2" width="5.5703125" style="4" customWidth="1"/>
    <col min="3" max="3" width="6.42578125" style="4" bestFit="1" customWidth="1"/>
    <col min="4" max="4" width="26" style="4" bestFit="1" customWidth="1"/>
    <col min="5" max="5" width="5.5703125" style="4" customWidth="1"/>
    <col min="6" max="6" width="6.42578125" style="4" bestFit="1" customWidth="1"/>
    <col min="7" max="7" width="35.5703125" style="4" bestFit="1" customWidth="1"/>
    <col min="8" max="8" width="5.5703125" style="4" customWidth="1"/>
    <col min="9" max="9" width="6.42578125" style="4" bestFit="1" customWidth="1"/>
    <col min="10" max="10" width="27.85546875" style="4" bestFit="1" customWidth="1"/>
    <col min="11" max="11" width="5.5703125" style="4" customWidth="1"/>
    <col min="12" max="12" width="6.42578125" style="4" bestFit="1" customWidth="1"/>
    <col min="13" max="13" width="23.28515625" style="4" bestFit="1" customWidth="1"/>
    <col min="14" max="14" width="5.5703125" style="4" customWidth="1"/>
    <col min="15" max="15" width="6.42578125" style="4" bestFit="1" customWidth="1"/>
    <col min="16" max="16" width="26.7109375" style="4" bestFit="1" customWidth="1"/>
    <col min="17" max="23" width="9.140625" style="4"/>
  </cols>
  <sheetData>
    <row r="1" spans="2:16" ht="16.5" thickBot="1">
      <c r="B1" s="289" t="s">
        <v>122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</row>
    <row r="2" spans="2:16" ht="13.5" thickBot="1">
      <c r="B2" s="285" t="s">
        <v>10</v>
      </c>
      <c r="C2" s="283"/>
      <c r="D2" s="286"/>
      <c r="E2" s="282" t="s">
        <v>11</v>
      </c>
      <c r="F2" s="283"/>
      <c r="G2" s="283"/>
      <c r="H2" s="283" t="s">
        <v>58</v>
      </c>
      <c r="I2" s="283"/>
      <c r="J2" s="283"/>
      <c r="K2" s="283" t="s">
        <v>121</v>
      </c>
      <c r="L2" s="283"/>
      <c r="M2" s="283"/>
      <c r="N2" s="283" t="s">
        <v>59</v>
      </c>
      <c r="O2" s="283"/>
      <c r="P2" s="286"/>
    </row>
    <row r="3" spans="2:16">
      <c r="B3" s="278" t="s">
        <v>105</v>
      </c>
      <c r="C3" s="274" t="s">
        <v>106</v>
      </c>
      <c r="D3" s="276" t="s">
        <v>107</v>
      </c>
      <c r="E3" s="272" t="s">
        <v>105</v>
      </c>
      <c r="F3" s="274" t="s">
        <v>106</v>
      </c>
      <c r="G3" s="280" t="s">
        <v>107</v>
      </c>
      <c r="H3" s="278" t="s">
        <v>105</v>
      </c>
      <c r="I3" s="274" t="s">
        <v>106</v>
      </c>
      <c r="J3" s="276" t="s">
        <v>107</v>
      </c>
      <c r="K3" s="278" t="s">
        <v>105</v>
      </c>
      <c r="L3" s="274" t="s">
        <v>106</v>
      </c>
      <c r="M3" s="276" t="s">
        <v>107</v>
      </c>
      <c r="N3" s="272" t="s">
        <v>105</v>
      </c>
      <c r="O3" s="274" t="s">
        <v>106</v>
      </c>
      <c r="P3" s="276" t="s">
        <v>107</v>
      </c>
    </row>
    <row r="4" spans="2:16" ht="13.5" thickBot="1">
      <c r="B4" s="279"/>
      <c r="C4" s="275"/>
      <c r="D4" s="277"/>
      <c r="E4" s="273"/>
      <c r="F4" s="275"/>
      <c r="G4" s="281"/>
      <c r="H4" s="279"/>
      <c r="I4" s="275"/>
      <c r="J4" s="277"/>
      <c r="K4" s="279"/>
      <c r="L4" s="275"/>
      <c r="M4" s="277"/>
      <c r="N4" s="273"/>
      <c r="O4" s="275"/>
      <c r="P4" s="277"/>
    </row>
    <row r="5" spans="2:16" ht="25.5">
      <c r="B5" s="94" t="str">
        <f>'1день'!A6</f>
        <v>Обед</v>
      </c>
      <c r="C5" s="95">
        <f>'1день'!B6</f>
        <v>124</v>
      </c>
      <c r="D5" s="68" t="str">
        <f>'1день'!C6</f>
        <v>Суп картофельный с фрикадельками мясными</v>
      </c>
      <c r="E5" s="96" t="str">
        <f>'2 день'!A6</f>
        <v>Обед</v>
      </c>
      <c r="F5" s="97">
        <f>'2 день'!B6</f>
        <v>150</v>
      </c>
      <c r="G5" s="98" t="str">
        <f>'2 день'!C6</f>
        <v>Икра кабачковая ( промышленного производства)</v>
      </c>
      <c r="H5" s="99" t="str">
        <f>E5</f>
        <v>Обед</v>
      </c>
      <c r="I5" s="97">
        <f>'3 день '!B6</f>
        <v>124</v>
      </c>
      <c r="J5" s="68" t="str">
        <f>'3 день '!C6</f>
        <v>Суп картофельный с фрикадельками рыбными</v>
      </c>
      <c r="K5" s="99" t="str">
        <f>H5</f>
        <v>Обед</v>
      </c>
      <c r="L5" s="97">
        <f>'4 день  '!B6</f>
        <v>113</v>
      </c>
      <c r="M5" s="68" t="str">
        <f>'4 день  '!C6</f>
        <v>Суп картофельный</v>
      </c>
      <c r="N5" s="96" t="str">
        <f>K5</f>
        <v>Обед</v>
      </c>
      <c r="O5" s="97">
        <f>'5 день'!B6</f>
        <v>103</v>
      </c>
      <c r="P5" s="68" t="str">
        <f>'5 день'!C6</f>
        <v>Щи из свежей капусты  на бульоне из кур</v>
      </c>
    </row>
    <row r="6" spans="2:16" ht="38.25">
      <c r="B6" s="100"/>
      <c r="C6" s="101">
        <f>'1день'!B7</f>
        <v>145</v>
      </c>
      <c r="D6" s="51">
        <f>'1день'!C7</f>
        <v>0</v>
      </c>
      <c r="E6" s="102"/>
      <c r="F6" s="103">
        <f>'2 день'!B7</f>
        <v>128</v>
      </c>
      <c r="G6" s="104" t="str">
        <f>'2 день'!C7</f>
        <v>Суп гороховый на бульоне мясном</v>
      </c>
      <c r="H6" s="105"/>
      <c r="I6" s="103">
        <f>'3 день '!B7</f>
        <v>146</v>
      </c>
      <c r="J6" s="51">
        <f>'3 день '!C7</f>
        <v>0</v>
      </c>
      <c r="K6" s="105"/>
      <c r="L6" s="103">
        <f>'4 день  '!B7</f>
        <v>286</v>
      </c>
      <c r="M6" s="51" t="str">
        <f>'4 день  '!C7</f>
        <v>Сырники из творога запеченные с маслом сливочным</v>
      </c>
      <c r="N6" s="102"/>
      <c r="O6" s="103">
        <f>'5 день'!B7</f>
        <v>87</v>
      </c>
      <c r="P6" s="51">
        <f>'5 день'!C7</f>
        <v>0</v>
      </c>
    </row>
    <row r="7" spans="2:16" ht="25.5">
      <c r="B7" s="100"/>
      <c r="C7" s="101">
        <f>'1день'!B8</f>
        <v>268</v>
      </c>
      <c r="D7" s="51" t="str">
        <f>'1день'!C8</f>
        <v>Омлет натуральный</v>
      </c>
      <c r="E7" s="102"/>
      <c r="F7" s="103">
        <f>'2 день'!B8</f>
        <v>89</v>
      </c>
      <c r="G7" s="104">
        <f>'2 день'!C8</f>
        <v>0</v>
      </c>
      <c r="H7" s="105"/>
      <c r="I7" s="103">
        <f>'3 день '!B8</f>
        <v>223</v>
      </c>
      <c r="J7" s="51" t="str">
        <f>'3 день '!C8</f>
        <v>Каша пшенная вязкая с маслом сливочным</v>
      </c>
      <c r="K7" s="105"/>
      <c r="L7" s="103">
        <f>'4 день  '!B8</f>
        <v>79</v>
      </c>
      <c r="M7" s="51">
        <f>'4 день  '!C8</f>
        <v>0</v>
      </c>
      <c r="N7" s="102"/>
      <c r="O7" s="103">
        <f>'5 день'!B8</f>
        <v>307</v>
      </c>
      <c r="P7" s="51" t="str">
        <f>'5 день'!C8</f>
        <v>Котлеты или биточки рыбные</v>
      </c>
    </row>
    <row r="8" spans="2:16">
      <c r="B8" s="100"/>
      <c r="C8" s="101">
        <f>'1день'!B9</f>
        <v>115</v>
      </c>
      <c r="D8" s="51" t="str">
        <f>'1день'!C9</f>
        <v>Хлеб ржаной</v>
      </c>
      <c r="E8" s="102"/>
      <c r="F8" s="103">
        <f>'2 день'!B9</f>
        <v>328</v>
      </c>
      <c r="G8" s="104" t="str">
        <f>'2 день'!C9</f>
        <v>Жаркое по-домашнему</v>
      </c>
      <c r="H8" s="105"/>
      <c r="I8" s="103">
        <f>'3 день '!B9</f>
        <v>79</v>
      </c>
      <c r="J8" s="51">
        <f>'3 день '!C9</f>
        <v>0</v>
      </c>
      <c r="K8" s="105"/>
      <c r="L8" s="103">
        <f>'4 день  '!B9</f>
        <v>115</v>
      </c>
      <c r="M8" s="51" t="str">
        <f>'4 день  '!C9</f>
        <v>Хлеб ржаной</v>
      </c>
      <c r="N8" s="102"/>
      <c r="O8" s="103">
        <f>'5 день'!B9</f>
        <v>377</v>
      </c>
      <c r="P8" s="51" t="str">
        <f>'5 день'!C9</f>
        <v>Пюре картофельное</v>
      </c>
    </row>
    <row r="9" spans="2:16">
      <c r="B9" s="100"/>
      <c r="C9" s="101">
        <f>'1день'!B10</f>
        <v>114</v>
      </c>
      <c r="D9" s="51" t="str">
        <f>'1день'!C10</f>
        <v>Хлеб пшеничный</v>
      </c>
      <c r="E9" s="102"/>
      <c r="F9" s="103">
        <f>'2 день'!B10</f>
        <v>115</v>
      </c>
      <c r="G9" s="104" t="str">
        <f>'2 день'!C10</f>
        <v>Хлеб ржаной</v>
      </c>
      <c r="H9" s="105"/>
      <c r="I9" s="103">
        <f>'3 день '!B11</f>
        <v>114</v>
      </c>
      <c r="J9" s="51" t="str">
        <f>'3 день '!C11</f>
        <v>Хлеб пшеничный</v>
      </c>
      <c r="K9" s="105"/>
      <c r="L9" s="103">
        <f>'4 день  '!B10</f>
        <v>114</v>
      </c>
      <c r="M9" s="51" t="str">
        <f>'4 день  '!C10</f>
        <v>Хлеб пшеничный</v>
      </c>
      <c r="N9" s="102"/>
      <c r="O9" s="103">
        <f>'5 день'!B10</f>
        <v>115</v>
      </c>
      <c r="P9" s="51" t="str">
        <f>'5 день'!C10</f>
        <v>Хлеб ржаной</v>
      </c>
    </row>
    <row r="10" spans="2:16" ht="25.5">
      <c r="B10" s="100"/>
      <c r="C10" s="101">
        <f>'1день'!B11</f>
        <v>494</v>
      </c>
      <c r="D10" s="51" t="str">
        <f>'1день'!C11</f>
        <v>Компот из плодов или ягод сушеных</v>
      </c>
      <c r="E10" s="102"/>
      <c r="F10" s="103">
        <f>'2 день'!B11</f>
        <v>114</v>
      </c>
      <c r="G10" s="104" t="str">
        <f>'2 день'!C11</f>
        <v>Хлеб пшеничный</v>
      </c>
      <c r="H10" s="105"/>
      <c r="I10" s="103">
        <f>'3 день '!B12</f>
        <v>494</v>
      </c>
      <c r="J10" s="51" t="str">
        <f>'3 день '!C12</f>
        <v>Компот из плодов или ягод сушеных</v>
      </c>
      <c r="K10" s="105"/>
      <c r="L10" s="103">
        <f>'4 день  '!B11</f>
        <v>460</v>
      </c>
      <c r="M10" s="51" t="str">
        <f>'4 день  '!C11</f>
        <v>Чай с молоком</v>
      </c>
      <c r="N10" s="102"/>
      <c r="O10" s="103">
        <f>'5 день'!B11</f>
        <v>114</v>
      </c>
      <c r="P10" s="51" t="str">
        <f>'5 день'!C11</f>
        <v>Хлеб пшеничный</v>
      </c>
    </row>
    <row r="11" spans="2:16" ht="25.5">
      <c r="B11" s="100"/>
      <c r="C11" s="101">
        <f>'1день'!B12</f>
        <v>82</v>
      </c>
      <c r="D11" s="51" t="str">
        <f>'1день'!C12</f>
        <v>Фрукты свежие</v>
      </c>
      <c r="E11" s="102"/>
      <c r="F11" s="103">
        <f>'2 день'!B12</f>
        <v>501</v>
      </c>
      <c r="G11" s="104" t="str">
        <f>'2 день'!C12</f>
        <v>Соки овощные, фруктовые и ягодные</v>
      </c>
      <c r="H11" s="105"/>
      <c r="I11" s="103">
        <f>'3 день '!B13</f>
        <v>82</v>
      </c>
      <c r="J11" s="51" t="str">
        <f>'3 день '!C13</f>
        <v>Фрукты свежие</v>
      </c>
      <c r="K11" s="105"/>
      <c r="L11" s="103">
        <f>'4 день  '!B12</f>
        <v>470</v>
      </c>
      <c r="M11" s="51" t="str">
        <f>'4 день  '!C12</f>
        <v>Кисломолочный напиток (йогурт)</v>
      </c>
      <c r="N11" s="102"/>
      <c r="O11" s="103">
        <f>'5 день'!B12</f>
        <v>495</v>
      </c>
      <c r="P11" s="51" t="str">
        <f>'5 день'!C12</f>
        <v>Компот из смеси сухофруктов</v>
      </c>
    </row>
    <row r="12" spans="2:16" ht="25.5" customHeight="1" thickBot="1">
      <c r="B12" s="106"/>
      <c r="C12" s="77">
        <f>'1день'!B14</f>
        <v>0</v>
      </c>
      <c r="D12" s="82">
        <f>'1день'!C14</f>
        <v>0</v>
      </c>
      <c r="E12" s="107"/>
      <c r="F12" s="77">
        <f>'2 день'!B13</f>
        <v>0</v>
      </c>
      <c r="G12" s="108">
        <f>'2 день'!C13</f>
        <v>0</v>
      </c>
      <c r="H12" s="106"/>
      <c r="I12" s="77">
        <f>'3 день '!B14</f>
        <v>0</v>
      </c>
      <c r="J12" s="82">
        <f>'3 день '!C14</f>
        <v>0</v>
      </c>
      <c r="K12" s="106"/>
      <c r="L12" s="109">
        <f>'4 день  '!B13</f>
        <v>0</v>
      </c>
      <c r="M12" s="110">
        <f>'4 день  '!C13</f>
        <v>0</v>
      </c>
      <c r="N12" s="107"/>
      <c r="O12" s="109">
        <f>'5 день'!B14</f>
        <v>0</v>
      </c>
      <c r="P12" s="110">
        <f>'5 день'!C14</f>
        <v>0</v>
      </c>
    </row>
    <row r="13" spans="2:16" ht="13.5" thickBot="1">
      <c r="B13" s="285" t="s">
        <v>77</v>
      </c>
      <c r="C13" s="283"/>
      <c r="D13" s="286"/>
      <c r="E13" s="282" t="s">
        <v>60</v>
      </c>
      <c r="F13" s="283"/>
      <c r="G13" s="284"/>
      <c r="H13" s="285" t="s">
        <v>61</v>
      </c>
      <c r="I13" s="283"/>
      <c r="J13" s="286"/>
      <c r="K13" s="285" t="s">
        <v>62</v>
      </c>
      <c r="L13" s="283"/>
      <c r="M13" s="286"/>
      <c r="N13" s="282" t="s">
        <v>63</v>
      </c>
      <c r="O13" s="283"/>
      <c r="P13" s="286"/>
    </row>
    <row r="14" spans="2:16">
      <c r="B14" s="278" t="s">
        <v>105</v>
      </c>
      <c r="C14" s="274" t="s">
        <v>106</v>
      </c>
      <c r="D14" s="276" t="s">
        <v>107</v>
      </c>
      <c r="E14" s="272" t="s">
        <v>105</v>
      </c>
      <c r="F14" s="274" t="s">
        <v>106</v>
      </c>
      <c r="G14" s="280" t="s">
        <v>107</v>
      </c>
      <c r="H14" s="278" t="s">
        <v>105</v>
      </c>
      <c r="I14" s="287" t="s">
        <v>106</v>
      </c>
      <c r="J14" s="276" t="s">
        <v>107</v>
      </c>
      <c r="K14" s="278" t="s">
        <v>105</v>
      </c>
      <c r="L14" s="274" t="s">
        <v>106</v>
      </c>
      <c r="M14" s="276" t="s">
        <v>107</v>
      </c>
      <c r="N14" s="272" t="s">
        <v>105</v>
      </c>
      <c r="O14" s="274" t="s">
        <v>106</v>
      </c>
      <c r="P14" s="276" t="s">
        <v>107</v>
      </c>
    </row>
    <row r="15" spans="2:16" ht="13.5" thickBot="1">
      <c r="B15" s="279"/>
      <c r="C15" s="275"/>
      <c r="D15" s="277"/>
      <c r="E15" s="273"/>
      <c r="F15" s="275"/>
      <c r="G15" s="281"/>
      <c r="H15" s="279"/>
      <c r="I15" s="288"/>
      <c r="J15" s="277"/>
      <c r="K15" s="279"/>
      <c r="L15" s="275"/>
      <c r="M15" s="277"/>
      <c r="N15" s="273"/>
      <c r="O15" s="275"/>
      <c r="P15" s="277"/>
    </row>
    <row r="16" spans="2:16" ht="38.25">
      <c r="B16" s="99" t="str">
        <f>E16</f>
        <v>Обед</v>
      </c>
      <c r="C16" s="97">
        <f>'6 день '!B6</f>
        <v>101</v>
      </c>
      <c r="D16" s="97" t="str">
        <f>'6 день '!C6</f>
        <v>Рассольник домашний</v>
      </c>
      <c r="E16" s="96" t="str">
        <f>H16</f>
        <v>Обед</v>
      </c>
      <c r="F16" s="97">
        <f>'7 день'!B6</f>
        <v>128</v>
      </c>
      <c r="G16" s="97" t="str">
        <f>'7 день'!C6</f>
        <v>Суп гороховый  на бульоне из кур</v>
      </c>
      <c r="H16" s="94" t="str">
        <f>'8 день '!A6</f>
        <v>Обед</v>
      </c>
      <c r="I16" s="111">
        <f>'8 день '!B6</f>
        <v>95</v>
      </c>
      <c r="J16" s="68" t="str">
        <f>'8 день '!C6</f>
        <v>Борщ с капустой и картофелем на бульоне мясном со сметаной</v>
      </c>
      <c r="K16" s="115" t="str">
        <f>B16</f>
        <v>Обед</v>
      </c>
      <c r="L16" s="116">
        <f>'9 день '!B6</f>
        <v>103</v>
      </c>
      <c r="M16" s="67" t="str">
        <f>'9 день '!C6</f>
        <v xml:space="preserve">Щи из свежей капусты на бульоне из кур </v>
      </c>
      <c r="N16" s="96" t="str">
        <f>K16</f>
        <v>Обед</v>
      </c>
      <c r="O16" s="97">
        <f>'10 день '!B6</f>
        <v>95</v>
      </c>
      <c r="P16" s="68" t="str">
        <f>'10 день '!C6</f>
        <v>Борщ с капустой и картофелем на бульоне мясном со сметаной</v>
      </c>
    </row>
    <row r="17" spans="2:16" ht="39" customHeight="1">
      <c r="B17" s="105"/>
      <c r="C17" s="103">
        <f>'6 день '!B7</f>
        <v>150</v>
      </c>
      <c r="D17" s="103" t="str">
        <f>'6 день '!C7</f>
        <v>Икра кабачковая ( промышленного производства)</v>
      </c>
      <c r="E17" s="102"/>
      <c r="F17" s="103">
        <f>'7 день'!B7</f>
        <v>87</v>
      </c>
      <c r="G17" s="103">
        <f>'7 день'!C7</f>
        <v>0</v>
      </c>
      <c r="H17" s="100"/>
      <c r="I17" s="112">
        <f>'8 день '!B7</f>
        <v>89</v>
      </c>
      <c r="J17" s="51">
        <f>'8 день '!C7</f>
        <v>0</v>
      </c>
      <c r="K17" s="105"/>
      <c r="L17" s="97">
        <f>'9 день '!B7</f>
        <v>87</v>
      </c>
      <c r="M17" s="68">
        <f>'9 день '!C7</f>
        <v>0</v>
      </c>
      <c r="N17" s="102"/>
      <c r="O17" s="97">
        <f>'10 день '!B7</f>
        <v>89</v>
      </c>
      <c r="P17" s="68">
        <f>'10 день '!C7</f>
        <v>0</v>
      </c>
    </row>
    <row r="18" spans="2:16">
      <c r="B18" s="105"/>
      <c r="C18" s="103">
        <f>'6 день '!B8</f>
        <v>307</v>
      </c>
      <c r="D18" s="103" t="str">
        <f>'6 день '!C8</f>
        <v>Котлеты или биточки рыбные</v>
      </c>
      <c r="E18" s="102"/>
      <c r="F18" s="103">
        <f>'7 день'!B8</f>
        <v>376</v>
      </c>
      <c r="G18" s="103" t="str">
        <f>'7 день'!C8</f>
        <v>Рагу из птицы</v>
      </c>
      <c r="H18" s="100"/>
      <c r="I18" s="112">
        <f>'8 день '!B8</f>
        <v>433</v>
      </c>
      <c r="J18" s="51">
        <f>'8 день '!C8</f>
        <v>0</v>
      </c>
      <c r="K18" s="105"/>
      <c r="L18" s="97">
        <f>'9 день '!B8</f>
        <v>373</v>
      </c>
      <c r="M18" s="68" t="str">
        <f>'9 день '!C8</f>
        <v>Котлеты " Нежные"</v>
      </c>
      <c r="N18" s="102"/>
      <c r="O18" s="97">
        <f>'10 день '!B8</f>
        <v>433</v>
      </c>
      <c r="P18" s="68">
        <f>'10 день '!C8</f>
        <v>0</v>
      </c>
    </row>
    <row r="19" spans="2:16" ht="38.25">
      <c r="B19" s="105"/>
      <c r="C19" s="103">
        <f>'6 день '!B9</f>
        <v>152</v>
      </c>
      <c r="D19" s="103" t="str">
        <f>'6 день '!C9</f>
        <v>Картофель отварной с маслом</v>
      </c>
      <c r="E19" s="102"/>
      <c r="F19" s="103">
        <f>'7 день'!B9</f>
        <v>115</v>
      </c>
      <c r="G19" s="103" t="str">
        <f>'7 день'!C9</f>
        <v>Хлеб ржаной</v>
      </c>
      <c r="H19" s="100"/>
      <c r="I19" s="112">
        <f>'8 день '!B9</f>
        <v>43</v>
      </c>
      <c r="J19" s="51" t="str">
        <f>'8 день '!C9</f>
        <v>Салат картофельный с солеными огурцами или капустой квашеной</v>
      </c>
      <c r="K19" s="105"/>
      <c r="L19" s="97">
        <f>'9 день '!B9</f>
        <v>223</v>
      </c>
      <c r="M19" s="68" t="str">
        <f>'9 день '!C9</f>
        <v>Каша пшенная вязкая</v>
      </c>
      <c r="N19" s="102"/>
      <c r="O19" s="97">
        <f>'10 день '!B9</f>
        <v>43</v>
      </c>
      <c r="P19" s="68" t="str">
        <f>'10 день '!C9</f>
        <v>Салат картофельный с солеными огурцами или капустой квашеной</v>
      </c>
    </row>
    <row r="20" spans="2:16" ht="25.5">
      <c r="B20" s="105"/>
      <c r="C20" s="103">
        <f>'6 день '!B10</f>
        <v>115</v>
      </c>
      <c r="D20" s="103" t="str">
        <f>'6 день '!C10</f>
        <v>Хлеб ржаной</v>
      </c>
      <c r="E20" s="102"/>
      <c r="F20" s="103">
        <f>'7 день'!B10</f>
        <v>114</v>
      </c>
      <c r="G20" s="103" t="str">
        <f>'7 день'!C10</f>
        <v>Хлеб пшеничный</v>
      </c>
      <c r="H20" s="100"/>
      <c r="I20" s="112">
        <f>'8 день '!B10</f>
        <v>333</v>
      </c>
      <c r="J20" s="51" t="str">
        <f>'8 день '!C10</f>
        <v>Голубцы ленивые</v>
      </c>
      <c r="K20" s="105"/>
      <c r="L20" s="97">
        <f>'9 день '!B10</f>
        <v>115</v>
      </c>
      <c r="M20" s="68" t="str">
        <f>'9 день '!C10</f>
        <v>Хлеб ржаной</v>
      </c>
      <c r="N20" s="102"/>
      <c r="O20" s="97">
        <f>'10 день '!B10</f>
        <v>259</v>
      </c>
      <c r="P20" s="68" t="str">
        <f>'10 день '!C10</f>
        <v>Макаронные изделия отварные с сыром</v>
      </c>
    </row>
    <row r="21" spans="2:16">
      <c r="B21" s="105"/>
      <c r="C21" s="103">
        <f>'6 день '!B11</f>
        <v>114</v>
      </c>
      <c r="D21" s="103" t="str">
        <f>'6 день '!C11</f>
        <v>Хлеб пшеничный</v>
      </c>
      <c r="E21" s="102"/>
      <c r="F21" s="103">
        <f>'7 день'!B11</f>
        <v>501</v>
      </c>
      <c r="G21" s="103" t="str">
        <f>'7 день'!C11</f>
        <v>Соки овощные, фруктовые и ягодные</v>
      </c>
      <c r="H21" s="100"/>
      <c r="I21" s="112">
        <f>'8 день '!B11</f>
        <v>115</v>
      </c>
      <c r="J21" s="51" t="str">
        <f>'8 день '!C11</f>
        <v>Хлеб ржаной</v>
      </c>
      <c r="K21" s="105"/>
      <c r="L21" s="97">
        <f>'9 день '!B11</f>
        <v>114</v>
      </c>
      <c r="M21" s="68" t="str">
        <f>'9 день '!C11</f>
        <v>Хлеб пшеничный</v>
      </c>
      <c r="N21" s="102"/>
      <c r="O21" s="97">
        <f>'10 день '!B11</f>
        <v>115</v>
      </c>
      <c r="P21" s="68" t="str">
        <f>'10 день '!C11</f>
        <v>Хлеб ржаной</v>
      </c>
    </row>
    <row r="22" spans="2:16">
      <c r="B22" s="105"/>
      <c r="C22" s="103">
        <f>'6 день '!B12</f>
        <v>495</v>
      </c>
      <c r="D22" s="103" t="str">
        <f>'6 день '!C12</f>
        <v>Компот из смеси сухофруктов</v>
      </c>
      <c r="E22" s="102"/>
      <c r="F22" s="103">
        <f>'7 день'!B12</f>
        <v>82</v>
      </c>
      <c r="G22" s="103" t="str">
        <f>'7 день'!C12</f>
        <v>Фрукты свежие</v>
      </c>
      <c r="H22" s="100"/>
      <c r="I22" s="112">
        <f>'8 день '!B12</f>
        <v>114</v>
      </c>
      <c r="J22" s="51" t="str">
        <f>'8 день '!C12</f>
        <v>Хлеб пшеничный</v>
      </c>
      <c r="K22" s="105"/>
      <c r="L22" s="97">
        <f>'9 день '!B12</f>
        <v>457</v>
      </c>
      <c r="M22" s="68" t="str">
        <f>'9 день '!C12</f>
        <v>Чай с сахаром</v>
      </c>
      <c r="N22" s="102"/>
      <c r="O22" s="97">
        <f>'10 день '!B12</f>
        <v>114</v>
      </c>
      <c r="P22" s="68" t="str">
        <f>'10 день '!C12</f>
        <v>Хлеб пшеничный</v>
      </c>
    </row>
    <row r="23" spans="2:16" ht="27" customHeight="1" thickBot="1">
      <c r="B23" s="106"/>
      <c r="C23" s="109">
        <f>'6 день '!B13</f>
        <v>0</v>
      </c>
      <c r="D23" s="109">
        <f>'6 день '!C13</f>
        <v>0</v>
      </c>
      <c r="E23" s="107"/>
      <c r="F23" s="109">
        <f>'7 день'!B13</f>
        <v>0</v>
      </c>
      <c r="G23" s="109">
        <f>'7 день'!C13</f>
        <v>0</v>
      </c>
      <c r="H23" s="106"/>
      <c r="I23" s="107">
        <f>'8 день '!B13</f>
        <v>483</v>
      </c>
      <c r="J23" s="110" t="str">
        <f>'8 день '!C13</f>
        <v>Кисель из повидла</v>
      </c>
      <c r="K23" s="106"/>
      <c r="L23" s="113">
        <f>'9 день '!B13</f>
        <v>0</v>
      </c>
      <c r="M23" s="114">
        <f>'9 день '!C13</f>
        <v>0</v>
      </c>
      <c r="N23" s="107"/>
      <c r="O23" s="113">
        <f>'10 день '!B13</f>
        <v>483</v>
      </c>
      <c r="P23" s="114" t="str">
        <f>'10 день '!C13</f>
        <v>Кисель из повидла</v>
      </c>
    </row>
  </sheetData>
  <mergeCells count="41">
    <mergeCell ref="B1:P1"/>
    <mergeCell ref="B2:D2"/>
    <mergeCell ref="E2:G2"/>
    <mergeCell ref="E3:E4"/>
    <mergeCell ref="F3:F4"/>
    <mergeCell ref="G3:G4"/>
    <mergeCell ref="B3:B4"/>
    <mergeCell ref="C3:C4"/>
    <mergeCell ref="D3:D4"/>
    <mergeCell ref="K2:M2"/>
    <mergeCell ref="K3:K4"/>
    <mergeCell ref="L3:L4"/>
    <mergeCell ref="M3:M4"/>
    <mergeCell ref="H2:J2"/>
    <mergeCell ref="H3:H4"/>
    <mergeCell ref="I3:I4"/>
    <mergeCell ref="J3:J4"/>
    <mergeCell ref="N13:P13"/>
    <mergeCell ref="N2:P2"/>
    <mergeCell ref="N3:N4"/>
    <mergeCell ref="O3:O4"/>
    <mergeCell ref="P3:P4"/>
    <mergeCell ref="H13:J13"/>
    <mergeCell ref="E13:G13"/>
    <mergeCell ref="B13:D13"/>
    <mergeCell ref="K13:M13"/>
    <mergeCell ref="H14:H15"/>
    <mergeCell ref="I14:I15"/>
    <mergeCell ref="J14:J15"/>
    <mergeCell ref="E14:E15"/>
    <mergeCell ref="F14:F15"/>
    <mergeCell ref="N14:N15"/>
    <mergeCell ref="O14:O15"/>
    <mergeCell ref="P14:P15"/>
    <mergeCell ref="B14:B15"/>
    <mergeCell ref="C14:C15"/>
    <mergeCell ref="D14:D15"/>
    <mergeCell ref="K14:K15"/>
    <mergeCell ref="L14:L15"/>
    <mergeCell ref="M14:M15"/>
    <mergeCell ref="G14:G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6"/>
  <sheetViews>
    <sheetView tabSelected="1" workbookViewId="0">
      <selection activeCell="E24" sqref="E24"/>
    </sheetView>
  </sheetViews>
  <sheetFormatPr defaultRowHeight="12.75"/>
  <cols>
    <col min="1" max="1" width="7.140625" customWidth="1"/>
    <col min="2" max="2" width="4" bestFit="1" customWidth="1"/>
    <col min="3" max="3" width="35.8554687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5" width="6.42578125" bestFit="1" customWidth="1"/>
    <col min="16" max="16" width="5.42578125" bestFit="1" customWidth="1"/>
    <col min="17" max="17" width="46" bestFit="1" customWidth="1"/>
  </cols>
  <sheetData>
    <row r="1" spans="1:30" s="5" customFormat="1">
      <c r="A1" s="216" t="s">
        <v>201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4" customFormat="1">
      <c r="A2" s="4" t="s">
        <v>67</v>
      </c>
    </row>
    <row r="3" spans="1:30" s="4" customFormat="1" ht="13.5" thickBot="1"/>
    <row r="4" spans="1:30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ht="25.5">
      <c r="A6" s="61" t="s">
        <v>80</v>
      </c>
      <c r="B6" s="41">
        <v>150</v>
      </c>
      <c r="C6" s="46" t="s">
        <v>92</v>
      </c>
      <c r="D6" s="47">
        <v>60</v>
      </c>
      <c r="E6" s="48">
        <f>[5]Лист1!$J$11</f>
        <v>1.1399999999999999</v>
      </c>
      <c r="F6" s="48">
        <f>[5]Лист1!$J$12</f>
        <v>5.34</v>
      </c>
      <c r="G6" s="48">
        <f>[5]Лист1!$J$13</f>
        <v>4.62</v>
      </c>
      <c r="H6" s="49">
        <f>[5]Лист1!$J$14</f>
        <v>70.8</v>
      </c>
      <c r="I6" s="50">
        <f>[5]Лист1!$M$16</f>
        <v>1.2E-2</v>
      </c>
      <c r="J6" s="50">
        <f>[5]Лист1!$M$15</f>
        <v>4.2</v>
      </c>
      <c r="K6" s="50">
        <f>[5]Лист1!$M$17</f>
        <v>0</v>
      </c>
      <c r="L6" s="50">
        <f>[5]Лист1!$M$18</f>
        <v>1.86</v>
      </c>
      <c r="M6" s="50">
        <f>[5]Лист1!$M$11</f>
        <v>24.6</v>
      </c>
      <c r="N6" s="50">
        <f>[5]Лист1!$M$12</f>
        <v>22.2</v>
      </c>
      <c r="O6" s="50">
        <f>[5]Лист1!$M$13</f>
        <v>9</v>
      </c>
      <c r="P6" s="50">
        <f>[5]Лист1!$M$14</f>
        <v>0.42</v>
      </c>
      <c r="Q6" s="207" t="s">
        <v>93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24"/>
      <c r="B7" s="41">
        <v>128</v>
      </c>
      <c r="C7" s="232" t="s">
        <v>149</v>
      </c>
      <c r="D7" s="233">
        <v>200</v>
      </c>
      <c r="E7" s="27">
        <f>[6]Лист1!$J$11</f>
        <v>5.98</v>
      </c>
      <c r="F7" s="27">
        <f>[6]Лист1!$J$12</f>
        <v>2.94</v>
      </c>
      <c r="G7" s="27">
        <f>[6]Лист1!$J$13</f>
        <v>12.96</v>
      </c>
      <c r="H7" s="28">
        <f>[6]Лист1!$J$14</f>
        <v>102.20000000000002</v>
      </c>
      <c r="I7" s="22">
        <f>[6]Лист1!$M$16</f>
        <v>0.20666666666666667</v>
      </c>
      <c r="J7" s="22">
        <f>[6]Лист1!$M$15</f>
        <v>0.4</v>
      </c>
      <c r="K7" s="22">
        <f>[6]Лист1!$M$17</f>
        <v>16</v>
      </c>
      <c r="L7" s="22">
        <f>[6]Лист1!$M$18</f>
        <v>0.24</v>
      </c>
      <c r="M7" s="22">
        <f>[6]Лист1!$M$11</f>
        <v>37.4</v>
      </c>
      <c r="N7" s="22">
        <f>[6]Лист1!$M$12</f>
        <v>75.84</v>
      </c>
      <c r="O7" s="22">
        <f>[6]Лист1!$M$13</f>
        <v>29.4</v>
      </c>
      <c r="P7" s="22">
        <f>[6]Лист1!$M$14</f>
        <v>2.1466666666666665</v>
      </c>
      <c r="Q7" s="205" t="s">
        <v>117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>
      <c r="A8" s="24"/>
      <c r="B8" s="41">
        <v>89</v>
      </c>
      <c r="C8" s="231"/>
      <c r="D8" s="234"/>
      <c r="E8" s="27">
        <f>[7]Лист1!$W$11</f>
        <v>4.3679999999999994</v>
      </c>
      <c r="F8" s="27">
        <f>[7]Лист1!$W$12</f>
        <v>3.1040000000000001</v>
      </c>
      <c r="G8" s="27">
        <f>[7]Лист1!$W$13</f>
        <v>0.25600000000000001</v>
      </c>
      <c r="H8" s="28">
        <f>[7]Лист1!$W$14</f>
        <v>46.4</v>
      </c>
      <c r="I8" s="22">
        <f>[7]Лист1!$Z$16</f>
        <v>8.0000000000000002E-3</v>
      </c>
      <c r="J8" s="22">
        <f>[7]Лист1!$Z$15</f>
        <v>0.14400000000000002</v>
      </c>
      <c r="K8" s="22">
        <f>[7]Лист1!$Z$17</f>
        <v>0</v>
      </c>
      <c r="L8" s="22">
        <f>[7]Лист1!$Z$18</f>
        <v>0.112</v>
      </c>
      <c r="M8" s="22">
        <f>[7]Лист1!$Z$11</f>
        <v>3.8880000000000003</v>
      </c>
      <c r="N8" s="22">
        <f>[7]Лист1!$Z$12</f>
        <v>35.567999999999998</v>
      </c>
      <c r="O8" s="22">
        <f>[7]Лист1!$Z$13</f>
        <v>4.88</v>
      </c>
      <c r="P8" s="22">
        <f>[7]Лист1!$Z$14</f>
        <v>0.57600000000000007</v>
      </c>
      <c r="Q8" s="205" t="s">
        <v>142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>
      <c r="A9" s="24"/>
      <c r="B9" s="41">
        <v>328</v>
      </c>
      <c r="C9" s="46" t="s">
        <v>150</v>
      </c>
      <c r="D9" s="47">
        <v>180</v>
      </c>
      <c r="E9" s="48">
        <f>[8]Лист1!$J$26</f>
        <v>15.652173913043478</v>
      </c>
      <c r="F9" s="48">
        <f>[8]Лист1!$J$27</f>
        <v>12.521739130434783</v>
      </c>
      <c r="G9" s="49">
        <f>[8]Лист1!$J$28</f>
        <v>18.782608695652176</v>
      </c>
      <c r="H9" s="48">
        <f>[8]Лист1!$J$29</f>
        <v>250.43478260869566</v>
      </c>
      <c r="I9" s="50">
        <f>[8]Лист1!$M$31</f>
        <v>0.18</v>
      </c>
      <c r="J9" s="50">
        <f>[8]Лист1!$M$30</f>
        <v>10.173913043478262</v>
      </c>
      <c r="K9" s="50">
        <f>[8]Лист1!$M$32</f>
        <v>15.652173913043478</v>
      </c>
      <c r="L9" s="50">
        <f>[8]Лист1!$M$33</f>
        <v>0.54782608695652169</v>
      </c>
      <c r="M9" s="50">
        <f>[8]Лист1!$M$26</f>
        <v>28.956521739130434</v>
      </c>
      <c r="N9" s="50">
        <f>[8]Лист1!$M$27</f>
        <v>190.17391304347825</v>
      </c>
      <c r="O9" s="50">
        <f>[8]Лист1!$M$28</f>
        <v>47.739130434782609</v>
      </c>
      <c r="P9" s="50">
        <f>[8]Лист1!$M$29</f>
        <v>3.0678260869565217</v>
      </c>
      <c r="Q9" s="207" t="s">
        <v>151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24"/>
      <c r="B10" s="41">
        <v>115</v>
      </c>
      <c r="C10" s="25" t="s">
        <v>12</v>
      </c>
      <c r="D10" s="26">
        <v>25</v>
      </c>
      <c r="E10" s="27">
        <v>1.65</v>
      </c>
      <c r="F10" s="27">
        <v>0.3</v>
      </c>
      <c r="G10" s="27">
        <v>8.35</v>
      </c>
      <c r="H10" s="27">
        <v>43.5</v>
      </c>
      <c r="I10" s="22">
        <v>0.05</v>
      </c>
      <c r="J10" s="22">
        <v>0</v>
      </c>
      <c r="K10" s="22">
        <v>0</v>
      </c>
      <c r="L10" s="22">
        <v>8.0000000000000002E-3</v>
      </c>
      <c r="M10" s="22">
        <v>8.75</v>
      </c>
      <c r="N10" s="22">
        <v>12.5</v>
      </c>
      <c r="O10" s="22">
        <v>11.75</v>
      </c>
      <c r="P10" s="22">
        <v>0.97499999999999998</v>
      </c>
      <c r="Q10" s="20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24"/>
      <c r="B11" s="41">
        <v>114</v>
      </c>
      <c r="C11" s="25" t="s">
        <v>13</v>
      </c>
      <c r="D11" s="26">
        <v>45</v>
      </c>
      <c r="E11" s="27">
        <v>3.5550000000000002</v>
      </c>
      <c r="F11" s="27">
        <v>0.45</v>
      </c>
      <c r="G11" s="27">
        <v>21.734999999999999</v>
      </c>
      <c r="H11" s="27">
        <v>105.75</v>
      </c>
      <c r="I11" s="22">
        <v>0.09</v>
      </c>
      <c r="J11" s="22">
        <v>0</v>
      </c>
      <c r="K11" s="22">
        <v>0</v>
      </c>
      <c r="L11" s="22">
        <v>0.27</v>
      </c>
      <c r="M11" s="22">
        <v>10.35</v>
      </c>
      <c r="N11" s="22">
        <v>27</v>
      </c>
      <c r="O11" s="22">
        <v>14.85</v>
      </c>
      <c r="P11" s="22">
        <v>0.85499999999999998</v>
      </c>
      <c r="Q11" s="20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A12" s="24"/>
      <c r="B12" s="41">
        <v>501</v>
      </c>
      <c r="C12" s="25" t="s">
        <v>133</v>
      </c>
      <c r="D12" s="26">
        <v>200</v>
      </c>
      <c r="E12" s="27">
        <f>[9]Лист1!$J$24</f>
        <v>1</v>
      </c>
      <c r="F12" s="27">
        <f>[9]Лист1!$J$25</f>
        <v>0.2</v>
      </c>
      <c r="G12" s="27">
        <f>[9]Лист1!$J$26</f>
        <v>20.2</v>
      </c>
      <c r="H12" s="28">
        <f>[9]Лист1!$J$27</f>
        <v>86</v>
      </c>
      <c r="I12" s="22">
        <f>[9]Лист1!$M$29</f>
        <v>0.02</v>
      </c>
      <c r="J12" s="22">
        <f>[9]Лист1!$M$28</f>
        <v>4</v>
      </c>
      <c r="K12" s="22">
        <f>[9]Лист1!$M$30</f>
        <v>0</v>
      </c>
      <c r="L12" s="22">
        <f>[9]Лист1!$M$31</f>
        <v>0.2</v>
      </c>
      <c r="M12" s="22">
        <f>[9]Лист1!$M$24</f>
        <v>14</v>
      </c>
      <c r="N12" s="22">
        <f>[9]Лист1!$M$25</f>
        <v>14</v>
      </c>
      <c r="O12" s="22">
        <f>[9]Лист1!$M$26</f>
        <v>8</v>
      </c>
      <c r="P12" s="22">
        <f>[9]Лист1!$M$27</f>
        <v>2.8</v>
      </c>
      <c r="Q12" s="205" t="s">
        <v>89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3.5" thickBot="1">
      <c r="A13" s="24"/>
      <c r="B13" s="44"/>
      <c r="C13" s="36"/>
      <c r="D13" s="37"/>
      <c r="E13" s="38"/>
      <c r="F13" s="38"/>
      <c r="G13" s="39"/>
      <c r="H13" s="38"/>
      <c r="I13" s="22"/>
      <c r="J13" s="22"/>
      <c r="K13" s="22"/>
      <c r="L13" s="22"/>
      <c r="M13" s="22"/>
      <c r="N13" s="22"/>
      <c r="O13" s="22"/>
      <c r="P13" s="22"/>
      <c r="Q13" s="29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3.5" thickBot="1">
      <c r="A14" s="30" t="s">
        <v>148</v>
      </c>
      <c r="B14" s="42"/>
      <c r="C14" s="31"/>
      <c r="D14" s="32">
        <f>D13+D12+D11+D10+D9+D8+D7+D6</f>
        <v>710</v>
      </c>
      <c r="E14" s="40">
        <f t="shared" ref="E14:P14" si="0">E13+E12+E11+E10+E9+E8+E7+E6</f>
        <v>33.345173913043482</v>
      </c>
      <c r="F14" s="40">
        <f t="shared" si="0"/>
        <v>24.855739130434785</v>
      </c>
      <c r="G14" s="40">
        <f t="shared" si="0"/>
        <v>86.903608695652196</v>
      </c>
      <c r="H14" s="40">
        <f t="shared" si="0"/>
        <v>705.0847826086956</v>
      </c>
      <c r="I14" s="40">
        <f t="shared" si="0"/>
        <v>0.56666666666666665</v>
      </c>
      <c r="J14" s="40">
        <f t="shared" si="0"/>
        <v>18.917913043478261</v>
      </c>
      <c r="K14" s="40">
        <f t="shared" si="0"/>
        <v>31.652173913043477</v>
      </c>
      <c r="L14" s="40">
        <f t="shared" si="0"/>
        <v>3.2378260869565221</v>
      </c>
      <c r="M14" s="40">
        <f t="shared" si="0"/>
        <v>127.94452173913044</v>
      </c>
      <c r="N14" s="40">
        <f t="shared" si="0"/>
        <v>377.28191304347826</v>
      </c>
      <c r="O14" s="40">
        <f t="shared" si="0"/>
        <v>125.61913043478262</v>
      </c>
      <c r="P14" s="40">
        <f t="shared" si="0"/>
        <v>10.840492753623188</v>
      </c>
      <c r="Q14" s="64" t="s">
        <v>84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03" customFormat="1" ht="12" thickBot="1">
      <c r="A15" s="197"/>
      <c r="B15" s="198"/>
      <c r="C15" s="199" t="s">
        <v>115</v>
      </c>
      <c r="D15" s="200"/>
      <c r="E15" s="201">
        <v>77</v>
      </c>
      <c r="F15" s="201">
        <v>79</v>
      </c>
      <c r="G15" s="201">
        <v>335</v>
      </c>
      <c r="H15" s="201">
        <v>2350</v>
      </c>
      <c r="I15" s="202"/>
      <c r="J15" s="202"/>
      <c r="K15" s="202"/>
      <c r="L15" s="202"/>
      <c r="M15" s="202"/>
      <c r="N15" s="202"/>
      <c r="O15" s="202"/>
      <c r="P15" s="202"/>
      <c r="Q15" s="65" t="s">
        <v>85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3.5" thickBot="1">
      <c r="A16" s="30"/>
      <c r="B16" s="42"/>
      <c r="C16" s="60" t="s">
        <v>116</v>
      </c>
      <c r="D16" s="32"/>
      <c r="E16" s="59">
        <f>E14*100/E15</f>
        <v>43.305420666290239</v>
      </c>
      <c r="F16" s="59">
        <f>F14*100/F15</f>
        <v>31.462960924600996</v>
      </c>
      <c r="G16" s="59">
        <f>G14*100/G15</f>
        <v>25.941375730045433</v>
      </c>
      <c r="H16" s="59">
        <f>H14*100/H15</f>
        <v>30.003607770582796</v>
      </c>
      <c r="I16" s="40"/>
      <c r="J16" s="40"/>
      <c r="K16" s="40"/>
      <c r="L16" s="40"/>
      <c r="M16" s="40"/>
      <c r="N16" s="40"/>
      <c r="O16" s="40"/>
      <c r="P16" s="40"/>
      <c r="Q16" s="66" t="s">
        <v>91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</sheetData>
  <mergeCells count="14">
    <mergeCell ref="C7:C8"/>
    <mergeCell ref="D7:D8"/>
    <mergeCell ref="A1:Q1"/>
    <mergeCell ref="I4:L4"/>
    <mergeCell ref="A4:A5"/>
    <mergeCell ref="B4:B5"/>
    <mergeCell ref="C4:C5"/>
    <mergeCell ref="Q4:Q5"/>
    <mergeCell ref="D4:D5"/>
    <mergeCell ref="E4:E5"/>
    <mergeCell ref="F4:F5"/>
    <mergeCell ref="G4:G5"/>
    <mergeCell ref="H4:H5"/>
    <mergeCell ref="M4:P4"/>
  </mergeCells>
  <phoneticPr fontId="3" type="noConversion"/>
  <pageMargins left="0.19685039370078741" right="0.19685039370078741" top="0.39370078740157483" bottom="0.39370078740157483" header="0" footer="0"/>
  <pageSetup paperSize="9" scale="89" orientation="landscape" r:id="rId1"/>
  <headerFooter alignWithMargins="0"/>
  <ignoredErrors>
    <ignoredError sqref="E15:H16 E14:H14 D14 I14:P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8"/>
  <sheetViews>
    <sheetView workbookViewId="0">
      <selection sqref="A1:Q17"/>
    </sheetView>
  </sheetViews>
  <sheetFormatPr defaultRowHeight="12.75"/>
  <cols>
    <col min="1" max="1" width="7.42578125" customWidth="1"/>
    <col min="2" max="2" width="5" bestFit="1" customWidth="1"/>
    <col min="3" max="3" width="34.570312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0" width="5.42578125" bestFit="1" customWidth="1"/>
    <col min="11" max="11" width="6.42578125" bestFit="1" customWidth="1"/>
    <col min="12" max="12" width="4.42578125" bestFit="1" customWidth="1"/>
    <col min="13" max="15" width="6.42578125" bestFit="1" customWidth="1"/>
    <col min="16" max="16" width="4.42578125" bestFit="1" customWidth="1"/>
    <col min="17" max="17" width="40" bestFit="1" customWidth="1"/>
  </cols>
  <sheetData>
    <row r="1" spans="1:29" s="5" customFormat="1">
      <c r="A1" s="216" t="s">
        <v>127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29" s="4" customFormat="1">
      <c r="A2" s="4" t="s">
        <v>68</v>
      </c>
    </row>
    <row r="3" spans="1:29" s="4" customFormat="1" ht="13.5" thickBot="1"/>
    <row r="4" spans="1:29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s="74" customFormat="1" ht="13.15" customHeight="1">
      <c r="A6" s="69" t="s">
        <v>80</v>
      </c>
      <c r="B6" s="52">
        <v>124</v>
      </c>
      <c r="C6" s="235" t="s">
        <v>152</v>
      </c>
      <c r="D6" s="236">
        <v>250</v>
      </c>
      <c r="E6" s="70">
        <f>[1]Лист1!$J$24</f>
        <v>9.2750000000000004</v>
      </c>
      <c r="F6" s="70">
        <f>[1]Лист1!$J$25</f>
        <v>8.15</v>
      </c>
      <c r="G6" s="70">
        <f>[1]Лист1!$J$26</f>
        <v>14.824999999999999</v>
      </c>
      <c r="H6" s="71">
        <f>[1]Лист1!$J$27</f>
        <v>169.75</v>
      </c>
      <c r="I6" s="72">
        <f>[1]Лист1!$M$29</f>
        <v>0.14166666666666666</v>
      </c>
      <c r="J6" s="72">
        <f>[1]Лист1!$M$28</f>
        <v>10.45</v>
      </c>
      <c r="K6" s="72">
        <f>[1]Лист1!$M$30</f>
        <v>7.1</v>
      </c>
      <c r="L6" s="72">
        <f>[1]Лист1!$M$31</f>
        <v>1.45</v>
      </c>
      <c r="M6" s="72">
        <f>[1]Лист1!$M$24</f>
        <v>28.65</v>
      </c>
      <c r="N6" s="72">
        <f>[1]Лист1!$M$25</f>
        <v>146.27500000000001</v>
      </c>
      <c r="O6" s="72">
        <f>[1]Лист1!$M$26</f>
        <v>38.075000000000003</v>
      </c>
      <c r="P6" s="72">
        <f>[1]Лист1!$M$27</f>
        <v>2.2666666666666666</v>
      </c>
      <c r="Q6" s="207" t="s">
        <v>153</v>
      </c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</row>
    <row r="7" spans="1:29" ht="22.5">
      <c r="A7" s="24"/>
      <c r="B7" s="52">
        <v>146</v>
      </c>
      <c r="C7" s="231"/>
      <c r="D7" s="229"/>
      <c r="E7" s="70">
        <f>[10]Лист1!$J$35</f>
        <v>5.166666666666667</v>
      </c>
      <c r="F7" s="70">
        <f>[10]Лист1!$J$36</f>
        <v>0.38150000000000001</v>
      </c>
      <c r="G7" s="70">
        <f>[10]Лист1!$J$37</f>
        <v>0.54583333333333339</v>
      </c>
      <c r="H7" s="71">
        <f>[10]Лист1!$J$38</f>
        <v>26.316666666666666</v>
      </c>
      <c r="I7" s="72">
        <f>[10]Лист1!$M$40</f>
        <v>2.658333333333333E-2</v>
      </c>
      <c r="J7" s="72">
        <f>[10]Лист1!$M$39</f>
        <v>0.375</v>
      </c>
      <c r="K7" s="72">
        <f>[10]Лист1!$M$41</f>
        <v>7.730833333333333</v>
      </c>
      <c r="L7" s="72">
        <f>[10]Лист1!$M$42</f>
        <v>0.32200000000000001</v>
      </c>
      <c r="M7" s="72">
        <f>[10]Лист1!$M$35</f>
        <v>10.0275</v>
      </c>
      <c r="N7" s="72">
        <f>[10]Лист1!$M$36</f>
        <v>63.98</v>
      </c>
      <c r="O7" s="72">
        <f>[10]Лист1!$M$37</f>
        <v>9.5724999999999998</v>
      </c>
      <c r="P7" s="72">
        <f>[10]Лист1!$M$38</f>
        <v>0.24808333333333335</v>
      </c>
      <c r="Q7" s="207" t="s">
        <v>154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2.5">
      <c r="A8" s="24"/>
      <c r="B8" s="41">
        <v>223</v>
      </c>
      <c r="C8" s="232" t="s">
        <v>196</v>
      </c>
      <c r="D8" s="26">
        <v>150</v>
      </c>
      <c r="E8" s="27">
        <f>[11]Лист1!$J$11</f>
        <v>6.3</v>
      </c>
      <c r="F8" s="27">
        <f>[11]Лист1!$J$12</f>
        <v>5.7</v>
      </c>
      <c r="G8" s="27">
        <f>[11]Лист1!$J$13</f>
        <v>27.6</v>
      </c>
      <c r="H8" s="27">
        <f>[11]Лист1!$J$14</f>
        <v>187.5</v>
      </c>
      <c r="I8" s="22">
        <f>[11]Лист1!$M$16</f>
        <v>0.13500000000000001</v>
      </c>
      <c r="J8" s="22">
        <f>[11]Лист1!$M$15</f>
        <v>0.93</v>
      </c>
      <c r="K8" s="22">
        <f>[11]Лист1!$M$17</f>
        <v>28.65</v>
      </c>
      <c r="L8" s="22">
        <f>[11]Лист1!$M$18</f>
        <v>0.1482</v>
      </c>
      <c r="M8" s="22">
        <f>[11]Лист1!$M$11</f>
        <v>9.75</v>
      </c>
      <c r="N8" s="22">
        <f>[11]Лист1!$M$12</f>
        <v>150.9</v>
      </c>
      <c r="O8" s="22">
        <f>[11]Лист1!$M$13</f>
        <v>40.5</v>
      </c>
      <c r="P8" s="22">
        <f>[11]Лист1!$M$14</f>
        <v>1.08</v>
      </c>
      <c r="Q8" s="215" t="s">
        <v>176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22.5">
      <c r="A9" s="24"/>
      <c r="B9" s="41">
        <v>79</v>
      </c>
      <c r="C9" s="231"/>
      <c r="D9" s="26">
        <v>10</v>
      </c>
      <c r="E9" s="27">
        <f>[12]Лист1!$J$11</f>
        <v>0.08</v>
      </c>
      <c r="F9" s="27">
        <f>[12]Лист1!$J$12</f>
        <v>7.2466666666666661</v>
      </c>
      <c r="G9" s="27">
        <f>[12]Лист1!$J$13</f>
        <v>0.12666666666666665</v>
      </c>
      <c r="H9" s="27">
        <f>[12]Лист1!$J$14</f>
        <v>66.086666666666659</v>
      </c>
      <c r="I9" s="22">
        <f>[12]Лист1!$M$16</f>
        <v>0</v>
      </c>
      <c r="J9" s="22">
        <f>[12]Лист1!$M$15</f>
        <v>0</v>
      </c>
      <c r="K9" s="22">
        <f>[12]Лист1!$M$17</f>
        <v>4</v>
      </c>
      <c r="L9" s="22">
        <f>[12]Лист1!$M$18</f>
        <v>0.01</v>
      </c>
      <c r="M9" s="22">
        <f>[12]Лист1!$M$11</f>
        <v>0.23999999999999996</v>
      </c>
      <c r="N9" s="22">
        <f>[12]Лист1!$M$12</f>
        <v>0.3</v>
      </c>
      <c r="O9" s="22">
        <f>[12]Лист1!$M$13</f>
        <v>0</v>
      </c>
      <c r="P9" s="22">
        <f>[12]Лист1!$M$14</f>
        <v>2E-3</v>
      </c>
      <c r="Q9" s="215" t="s">
        <v>178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>
      <c r="A10" s="24"/>
      <c r="B10" s="41">
        <v>115</v>
      </c>
      <c r="C10" s="25" t="s">
        <v>12</v>
      </c>
      <c r="D10" s="26">
        <v>40</v>
      </c>
      <c r="E10" s="27">
        <v>2.64</v>
      </c>
      <c r="F10" s="27">
        <v>0.48</v>
      </c>
      <c r="G10" s="27">
        <v>13.6</v>
      </c>
      <c r="H10" s="27">
        <v>69.599999999999994</v>
      </c>
      <c r="I10" s="22">
        <v>0.08</v>
      </c>
      <c r="J10" s="22">
        <v>0</v>
      </c>
      <c r="K10" s="22">
        <v>0</v>
      </c>
      <c r="L10" s="22">
        <v>0.01</v>
      </c>
      <c r="M10" s="22">
        <v>14</v>
      </c>
      <c r="N10" s="22">
        <v>20</v>
      </c>
      <c r="O10" s="22">
        <v>18.8</v>
      </c>
      <c r="P10" s="22">
        <v>1.56</v>
      </c>
      <c r="Q10" s="20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>
      <c r="A11" s="24"/>
      <c r="B11" s="41">
        <v>114</v>
      </c>
      <c r="C11" s="25" t="s">
        <v>13</v>
      </c>
      <c r="D11" s="26">
        <v>30</v>
      </c>
      <c r="E11" s="27">
        <v>2.37</v>
      </c>
      <c r="F11" s="27">
        <v>0.3</v>
      </c>
      <c r="G11" s="27">
        <v>14.49</v>
      </c>
      <c r="H11" s="27">
        <v>70.5</v>
      </c>
      <c r="I11" s="22">
        <v>0.06</v>
      </c>
      <c r="J11" s="22">
        <v>0</v>
      </c>
      <c r="K11" s="22">
        <v>0.42749999999999999</v>
      </c>
      <c r="L11" s="22">
        <v>0.22500000000000001</v>
      </c>
      <c r="M11" s="22">
        <v>6.9</v>
      </c>
      <c r="N11" s="22">
        <v>22.5</v>
      </c>
      <c r="O11" s="22">
        <v>9.9</v>
      </c>
      <c r="P11" s="22">
        <v>0.56999999999999995</v>
      </c>
      <c r="Q11" s="20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22.5">
      <c r="A12" s="24"/>
      <c r="B12" s="43">
        <v>494</v>
      </c>
      <c r="C12" s="33" t="s">
        <v>195</v>
      </c>
      <c r="D12" s="34">
        <v>200</v>
      </c>
      <c r="E12" s="35">
        <f>[4]Лист1!$J$25</f>
        <v>0.3</v>
      </c>
      <c r="F12" s="35">
        <f>[4]Лист1!$J$26</f>
        <v>0.01</v>
      </c>
      <c r="G12" s="35">
        <f>[4]Лист1!$J$27</f>
        <v>17.5</v>
      </c>
      <c r="H12" s="35">
        <f>[4]Лист1!$J$28</f>
        <v>72</v>
      </c>
      <c r="I12" s="23">
        <f>[4]Лист1!$M$30</f>
        <v>0</v>
      </c>
      <c r="J12" s="23">
        <f>[4]Лист1!$M$29</f>
        <v>0.1</v>
      </c>
      <c r="K12" s="23">
        <f>[4]Лист1!$M$31</f>
        <v>0</v>
      </c>
      <c r="L12" s="23">
        <f>[4]Лист1!$M$32</f>
        <v>0.1</v>
      </c>
      <c r="M12" s="23">
        <f>[4]Лист1!$M$25</f>
        <v>16.399999999999999</v>
      </c>
      <c r="N12" s="23">
        <f>[4]Лист1!$M$26</f>
        <v>10.7</v>
      </c>
      <c r="O12" s="23">
        <f>[4]Лист1!$M$27</f>
        <v>4.3</v>
      </c>
      <c r="P12" s="23">
        <f>[4]Лист1!$M$28</f>
        <v>0.9</v>
      </c>
      <c r="Q12" s="214" t="s">
        <v>90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22.5">
      <c r="A13" s="24"/>
      <c r="B13" s="41">
        <v>82</v>
      </c>
      <c r="C13" s="25" t="s">
        <v>34</v>
      </c>
      <c r="D13" s="26">
        <v>100</v>
      </c>
      <c r="E13" s="27">
        <v>0.4</v>
      </c>
      <c r="F13" s="27">
        <v>0.4</v>
      </c>
      <c r="G13" s="27">
        <v>9.8000000000000007</v>
      </c>
      <c r="H13" s="28">
        <v>44</v>
      </c>
      <c r="I13" s="22">
        <v>0.03</v>
      </c>
      <c r="J13" s="22">
        <v>7</v>
      </c>
      <c r="K13" s="22">
        <v>0</v>
      </c>
      <c r="L13" s="22">
        <v>0.2</v>
      </c>
      <c r="M13" s="22">
        <v>16.100000000000001</v>
      </c>
      <c r="N13" s="22">
        <v>11</v>
      </c>
      <c r="O13" s="22">
        <v>9</v>
      </c>
      <c r="P13" s="22">
        <v>2.21</v>
      </c>
      <c r="Q13" s="215" t="s">
        <v>86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3.5" thickBot="1">
      <c r="A14" s="24"/>
      <c r="B14" s="41"/>
      <c r="C14" s="25"/>
      <c r="D14" s="26"/>
      <c r="E14" s="27"/>
      <c r="F14" s="27"/>
      <c r="G14" s="27"/>
      <c r="H14" s="28"/>
      <c r="I14" s="22"/>
      <c r="J14" s="22"/>
      <c r="K14" s="22"/>
      <c r="L14" s="22"/>
      <c r="M14" s="22"/>
      <c r="N14" s="22"/>
      <c r="O14" s="22"/>
      <c r="P14" s="22"/>
      <c r="Q14" s="20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3.5" thickBot="1">
      <c r="A15" s="30" t="s">
        <v>148</v>
      </c>
      <c r="B15" s="42"/>
      <c r="C15" s="31"/>
      <c r="D15" s="32">
        <f>SUM(D6:D14)</f>
        <v>780</v>
      </c>
      <c r="E15" s="40">
        <f>E14+E13+E12+E11+E9+E8+E7+E6+E10</f>
        <v>26.531666666666666</v>
      </c>
      <c r="F15" s="40">
        <f t="shared" ref="F15:P15" si="0">F14+F13+F12+F11+F9+F8+F7+F6+F10</f>
        <v>22.668166666666668</v>
      </c>
      <c r="G15" s="40">
        <f t="shared" si="0"/>
        <v>98.487499999999997</v>
      </c>
      <c r="H15" s="40">
        <f t="shared" si="0"/>
        <v>705.75333333333333</v>
      </c>
      <c r="I15" s="40">
        <f t="shared" si="0"/>
        <v>0.47325</v>
      </c>
      <c r="J15" s="40">
        <f t="shared" si="0"/>
        <v>18.854999999999997</v>
      </c>
      <c r="K15" s="40">
        <f t="shared" si="0"/>
        <v>47.908333333333339</v>
      </c>
      <c r="L15" s="40">
        <f t="shared" si="0"/>
        <v>2.4651999999999998</v>
      </c>
      <c r="M15" s="40">
        <f t="shared" si="0"/>
        <v>102.0675</v>
      </c>
      <c r="N15" s="40">
        <f t="shared" si="0"/>
        <v>425.65499999999997</v>
      </c>
      <c r="O15" s="40">
        <f t="shared" si="0"/>
        <v>130.14750000000001</v>
      </c>
      <c r="P15" s="40">
        <f t="shared" si="0"/>
        <v>8.8367500000000003</v>
      </c>
      <c r="Q15" s="64" t="s">
        <v>84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s="203" customFormat="1" ht="12" thickBot="1">
      <c r="A16" s="197"/>
      <c r="B16" s="198"/>
      <c r="C16" s="199" t="s">
        <v>115</v>
      </c>
      <c r="D16" s="200"/>
      <c r="E16" s="201">
        <v>77</v>
      </c>
      <c r="F16" s="201">
        <v>79</v>
      </c>
      <c r="G16" s="201">
        <v>335</v>
      </c>
      <c r="H16" s="201">
        <v>2350</v>
      </c>
      <c r="I16" s="202"/>
      <c r="J16" s="202"/>
      <c r="K16" s="202"/>
      <c r="L16" s="202"/>
      <c r="M16" s="202"/>
      <c r="N16" s="202"/>
      <c r="O16" s="202"/>
      <c r="P16" s="202"/>
      <c r="Q16" s="65" t="s">
        <v>85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3.5" thickBot="1">
      <c r="A17" s="30"/>
      <c r="B17" s="42"/>
      <c r="C17" s="60" t="s">
        <v>116</v>
      </c>
      <c r="D17" s="32"/>
      <c r="E17" s="59">
        <f>E15*100/E16</f>
        <v>34.456709956709958</v>
      </c>
      <c r="F17" s="59">
        <f>F15*100/F16</f>
        <v>28.693881856540084</v>
      </c>
      <c r="G17" s="59">
        <f>G15*100/G16</f>
        <v>29.399253731343283</v>
      </c>
      <c r="H17" s="59">
        <f>H15*100/H16</f>
        <v>30.03205673758865</v>
      </c>
      <c r="I17" s="40"/>
      <c r="J17" s="40"/>
      <c r="K17" s="40"/>
      <c r="L17" s="40"/>
      <c r="M17" s="40"/>
      <c r="N17" s="40"/>
      <c r="O17" s="40"/>
      <c r="P17" s="40"/>
      <c r="Q17" s="66" t="s">
        <v>91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>
      <c r="A18" s="4"/>
    </row>
  </sheetData>
  <mergeCells count="15">
    <mergeCell ref="C8:C9"/>
    <mergeCell ref="C6:C7"/>
    <mergeCell ref="D6:D7"/>
    <mergeCell ref="A1:Q1"/>
    <mergeCell ref="Q4:Q5"/>
    <mergeCell ref="A4:A5"/>
    <mergeCell ref="E4:E5"/>
    <mergeCell ref="B4:B5"/>
    <mergeCell ref="C4:C5"/>
    <mergeCell ref="D4:D5"/>
    <mergeCell ref="F4:F5"/>
    <mergeCell ref="G4:G5"/>
    <mergeCell ref="H4:H5"/>
    <mergeCell ref="I4:L4"/>
    <mergeCell ref="M4:P4"/>
  </mergeCells>
  <phoneticPr fontId="3" type="noConversion"/>
  <pageMargins left="0.75" right="0.75" top="1" bottom="1" header="0.5" footer="0.5"/>
  <pageSetup paperSize="9" scale="83" fitToHeight="0" orientation="landscape" r:id="rId1"/>
  <headerFooter alignWithMargins="0"/>
  <ignoredErrors>
    <ignoredError sqref="E16:H1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6"/>
  <sheetViews>
    <sheetView workbookViewId="0">
      <selection sqref="A1:Q16"/>
    </sheetView>
  </sheetViews>
  <sheetFormatPr defaultRowHeight="12.75"/>
  <cols>
    <col min="1" max="1" width="7.140625" customWidth="1"/>
    <col min="2" max="2" width="4" bestFit="1" customWidth="1"/>
    <col min="3" max="3" width="35.14062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5" width="6.42578125" bestFit="1" customWidth="1"/>
    <col min="16" max="16" width="4.42578125" bestFit="1" customWidth="1"/>
    <col min="17" max="17" width="52.42578125" bestFit="1" customWidth="1"/>
  </cols>
  <sheetData>
    <row r="1" spans="1:30" s="5" customFormat="1">
      <c r="A1" s="216" t="s">
        <v>128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4" customFormat="1">
      <c r="A2" s="4" t="s">
        <v>69</v>
      </c>
    </row>
    <row r="3" spans="1:30" s="4" customFormat="1" ht="13.5" thickBot="1"/>
    <row r="4" spans="1:30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s="74" customFormat="1" ht="12.75" customHeight="1">
      <c r="A6" s="69" t="s">
        <v>80</v>
      </c>
      <c r="B6" s="52">
        <v>113</v>
      </c>
      <c r="C6" s="58" t="s">
        <v>187</v>
      </c>
      <c r="D6" s="191">
        <v>200</v>
      </c>
      <c r="E6" s="70">
        <f>[13]Лист1!$J$11</f>
        <v>1.94</v>
      </c>
      <c r="F6" s="70">
        <f>[13]Лист1!$J$12</f>
        <v>2.08</v>
      </c>
      <c r="G6" s="70">
        <f>[13]Лист1!$J$13</f>
        <v>13</v>
      </c>
      <c r="H6" s="71">
        <f>[13]Лист1!$J$14</f>
        <v>78.400000000000006</v>
      </c>
      <c r="I6" s="72">
        <f>[13]Лист1!$M$16</f>
        <v>0.10666666666666667</v>
      </c>
      <c r="J6" s="72">
        <f>[13]Лист1!$M$15</f>
        <v>9.36</v>
      </c>
      <c r="K6" s="72">
        <f>[13]Лист1!$M$17</f>
        <v>0</v>
      </c>
      <c r="L6" s="72">
        <f>[13]Лист1!$M$18</f>
        <v>1.04</v>
      </c>
      <c r="M6" s="72">
        <f>[13]Лист1!$M$11</f>
        <v>19.78</v>
      </c>
      <c r="N6" s="72">
        <f>[13]Лист1!$M$12</f>
        <v>63.58</v>
      </c>
      <c r="O6" s="72">
        <f>[13]Лист1!$M$13</f>
        <v>25.92</v>
      </c>
      <c r="P6" s="72">
        <f>[13]Лист1!$M$14</f>
        <v>1.0133333333333334</v>
      </c>
      <c r="Q6" s="207" t="s">
        <v>188</v>
      </c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1:30" ht="22.5">
      <c r="A7" s="24"/>
      <c r="B7" s="43">
        <v>286</v>
      </c>
      <c r="C7" s="232" t="s">
        <v>179</v>
      </c>
      <c r="D7" s="54">
        <v>150</v>
      </c>
      <c r="E7" s="55">
        <f>[14]Лист1!$J$11</f>
        <v>29.594999999999999</v>
      </c>
      <c r="F7" s="55">
        <f>[14]Лист1!$J$12</f>
        <v>7.8</v>
      </c>
      <c r="G7" s="55">
        <f>[14]Лист1!$J$13</f>
        <v>31.897500000000001</v>
      </c>
      <c r="H7" s="56">
        <f>[14]Лист1!$J$14</f>
        <v>315.9975</v>
      </c>
      <c r="I7" s="57">
        <f>[14]Лист1!$M$16</f>
        <v>7.9500000000000001E-2</v>
      </c>
      <c r="J7" s="57">
        <f>[14]Лист1!$M$15</f>
        <v>0.3</v>
      </c>
      <c r="K7" s="57">
        <f>[14]Лист1!$M$17</f>
        <v>58.599749999999993</v>
      </c>
      <c r="L7" s="57">
        <f>[14]Лист1!$M$18</f>
        <v>0.495</v>
      </c>
      <c r="M7" s="57">
        <f>[14]Лист1!$M$11</f>
        <v>219.80025000000001</v>
      </c>
      <c r="N7" s="57">
        <f>[14]Лист1!$M$12</f>
        <v>309.9975</v>
      </c>
      <c r="O7" s="57">
        <f>[14]Лист1!$M$13</f>
        <v>32.299500000000002</v>
      </c>
      <c r="P7" s="57">
        <f>[14]Лист1!$M$14</f>
        <v>0.99</v>
      </c>
      <c r="Q7" s="204" t="s">
        <v>155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>
      <c r="A8" s="24"/>
      <c r="B8" s="41">
        <v>79</v>
      </c>
      <c r="C8" s="231"/>
      <c r="D8" s="26">
        <v>10</v>
      </c>
      <c r="E8" s="27">
        <f>[12]Лист1!$J$11</f>
        <v>0.08</v>
      </c>
      <c r="F8" s="27">
        <f>[12]Лист1!$J$12</f>
        <v>7.2466666666666661</v>
      </c>
      <c r="G8" s="27">
        <f>[12]Лист1!$J$13</f>
        <v>0.12666666666666665</v>
      </c>
      <c r="H8" s="27">
        <f>[12]Лист1!$J$14</f>
        <v>66.086666666666659</v>
      </c>
      <c r="I8" s="22">
        <f>[12]Лист1!$M$16</f>
        <v>0</v>
      </c>
      <c r="J8" s="22">
        <f>[12]Лист1!$M$15</f>
        <v>0</v>
      </c>
      <c r="K8" s="22">
        <f>[12]Лист1!$M$17</f>
        <v>4</v>
      </c>
      <c r="L8" s="22">
        <f>[12]Лист1!$M$18</f>
        <v>0.01</v>
      </c>
      <c r="M8" s="22">
        <f>[12]Лист1!$M$11</f>
        <v>0.23999999999999996</v>
      </c>
      <c r="N8" s="22">
        <f>[12]Лист1!$M$12</f>
        <v>0.3</v>
      </c>
      <c r="O8" s="22">
        <f>[12]Лист1!$M$13</f>
        <v>0</v>
      </c>
      <c r="P8" s="22">
        <f>[12]Лист1!$M$14</f>
        <v>2E-3</v>
      </c>
      <c r="Q8" s="205" t="s">
        <v>178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>
      <c r="A9" s="24"/>
      <c r="B9" s="41">
        <v>115</v>
      </c>
      <c r="C9" s="25" t="s">
        <v>12</v>
      </c>
      <c r="D9" s="26">
        <v>25</v>
      </c>
      <c r="E9" s="27">
        <v>1.65</v>
      </c>
      <c r="F9" s="27">
        <v>0.3</v>
      </c>
      <c r="G9" s="27">
        <v>8.35</v>
      </c>
      <c r="H9" s="27">
        <v>43.5</v>
      </c>
      <c r="I9" s="22">
        <v>0.05</v>
      </c>
      <c r="J9" s="22">
        <v>0</v>
      </c>
      <c r="K9" s="22">
        <v>0</v>
      </c>
      <c r="L9" s="22">
        <v>8.0000000000000002E-3</v>
      </c>
      <c r="M9" s="22">
        <v>8.75</v>
      </c>
      <c r="N9" s="22">
        <v>12.5</v>
      </c>
      <c r="O9" s="22">
        <v>11.75</v>
      </c>
      <c r="P9" s="22">
        <v>0.97499999999999998</v>
      </c>
      <c r="Q9" s="205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24"/>
      <c r="B10" s="41">
        <v>114</v>
      </c>
      <c r="C10" s="25" t="s">
        <v>13</v>
      </c>
      <c r="D10" s="26">
        <v>45</v>
      </c>
      <c r="E10" s="27">
        <v>3.5550000000000002</v>
      </c>
      <c r="F10" s="27">
        <v>0.45</v>
      </c>
      <c r="G10" s="27">
        <v>21.734999999999999</v>
      </c>
      <c r="H10" s="27">
        <v>105.75</v>
      </c>
      <c r="I10" s="22">
        <v>0.09</v>
      </c>
      <c r="J10" s="22">
        <v>0</v>
      </c>
      <c r="K10" s="22">
        <v>0</v>
      </c>
      <c r="L10" s="22">
        <v>0.27</v>
      </c>
      <c r="M10" s="22">
        <v>10.35</v>
      </c>
      <c r="N10" s="22">
        <v>27</v>
      </c>
      <c r="O10" s="22">
        <v>14.85</v>
      </c>
      <c r="P10" s="22">
        <v>0.85499999999999998</v>
      </c>
      <c r="Q10" s="20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139"/>
      <c r="B11" s="41">
        <v>460</v>
      </c>
      <c r="C11" s="25" t="s">
        <v>199</v>
      </c>
      <c r="D11" s="26">
        <v>180</v>
      </c>
      <c r="E11" s="27">
        <f>[15]Лист1!$J$11</f>
        <v>1.44</v>
      </c>
      <c r="F11" s="27">
        <f>[15]Лист1!$J$12</f>
        <v>1.17</v>
      </c>
      <c r="G11" s="28">
        <f>[15]Лист1!$J$13</f>
        <v>10.35</v>
      </c>
      <c r="H11" s="27">
        <f>[15]Лист1!$J$14</f>
        <v>57.6</v>
      </c>
      <c r="I11" s="22">
        <f>[15]Лист1!$M$16</f>
        <v>1.8000000000000002E-2</v>
      </c>
      <c r="J11" s="22">
        <f>[15]Лист1!$M$15</f>
        <v>0.27</v>
      </c>
      <c r="K11" s="22">
        <f>[15]Лист1!$M$17</f>
        <v>8.5500000000000007</v>
      </c>
      <c r="L11" s="22">
        <f>[15]Лист1!$M$18</f>
        <v>0</v>
      </c>
      <c r="M11" s="22">
        <f>[15]Лист1!$M$11</f>
        <v>53.19</v>
      </c>
      <c r="N11" s="22">
        <f>[15]Лист1!$M$12</f>
        <v>41.31</v>
      </c>
      <c r="O11" s="22">
        <f>[15]Лист1!$M$13</f>
        <v>9.4499999999999993</v>
      </c>
      <c r="P11" s="22">
        <f>[15]Лист1!$M$14</f>
        <v>0.78299999999999992</v>
      </c>
      <c r="Q11" s="205" t="s">
        <v>200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A12" s="24"/>
      <c r="B12" s="41">
        <v>470</v>
      </c>
      <c r="C12" s="25" t="s">
        <v>135</v>
      </c>
      <c r="D12" s="26">
        <v>110</v>
      </c>
      <c r="E12" s="27">
        <f>[16]Лист1!$J$11</f>
        <v>3.19</v>
      </c>
      <c r="F12" s="27">
        <f>[16]Лист1!$J$12</f>
        <v>2.75</v>
      </c>
      <c r="G12" s="27">
        <f>[16]Лист1!$J$13</f>
        <v>4.4000000000000004</v>
      </c>
      <c r="H12" s="27">
        <f>[16]Лист1!$J$14</f>
        <v>55.55</v>
      </c>
      <c r="I12" s="22">
        <f>[16]Лист1!$M$16</f>
        <v>4.4000000000000004E-2</v>
      </c>
      <c r="J12" s="22">
        <f>[16]Лист1!$M$15</f>
        <v>0.77</v>
      </c>
      <c r="K12" s="22">
        <f>[16]Лист1!$M$17</f>
        <v>22.055</v>
      </c>
      <c r="L12" s="22">
        <f>[16]Лист1!$M$18</f>
        <v>0</v>
      </c>
      <c r="M12" s="22">
        <f>[16]Лист1!$M$11</f>
        <v>132.44</v>
      </c>
      <c r="N12" s="22">
        <f>[16]Лист1!$M$12</f>
        <v>99.33</v>
      </c>
      <c r="O12" s="22">
        <f>[16]Лист1!$M$13</f>
        <v>15.455</v>
      </c>
      <c r="P12" s="22">
        <f>[16]Лист1!$M$14</f>
        <v>0.11</v>
      </c>
      <c r="Q12" s="205" t="s">
        <v>87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3.5" thickBot="1">
      <c r="A13" s="24"/>
      <c r="B13" s="41"/>
      <c r="C13" s="25"/>
      <c r="D13" s="26"/>
      <c r="E13" s="27"/>
      <c r="F13" s="27"/>
      <c r="G13" s="27"/>
      <c r="H13" s="28"/>
      <c r="I13" s="22"/>
      <c r="J13" s="22"/>
      <c r="K13" s="22"/>
      <c r="L13" s="22"/>
      <c r="M13" s="22"/>
      <c r="N13" s="22"/>
      <c r="O13" s="22"/>
      <c r="P13" s="22"/>
      <c r="Q13" s="205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3.5" thickBot="1">
      <c r="A14" s="30" t="s">
        <v>148</v>
      </c>
      <c r="B14" s="42"/>
      <c r="C14" s="31"/>
      <c r="D14" s="32">
        <f>D13+D12+D11+D10+D9+D8+D7+D6</f>
        <v>720</v>
      </c>
      <c r="E14" s="40">
        <f t="shared" ref="E14:P14" si="0">E13+E12+E11+E10+E9+E8+E7+E6</f>
        <v>41.449999999999996</v>
      </c>
      <c r="F14" s="40">
        <f t="shared" si="0"/>
        <v>21.796666666666667</v>
      </c>
      <c r="G14" s="40">
        <f t="shared" si="0"/>
        <v>89.859166666666667</v>
      </c>
      <c r="H14" s="40">
        <f t="shared" si="0"/>
        <v>722.8841666666666</v>
      </c>
      <c r="I14" s="40">
        <f t="shared" si="0"/>
        <v>0.38816666666666672</v>
      </c>
      <c r="J14" s="40">
        <f t="shared" si="0"/>
        <v>10.7</v>
      </c>
      <c r="K14" s="40">
        <f t="shared" si="0"/>
        <v>93.20474999999999</v>
      </c>
      <c r="L14" s="40">
        <f t="shared" si="0"/>
        <v>1.823</v>
      </c>
      <c r="M14" s="40">
        <f t="shared" si="0"/>
        <v>444.55025000000001</v>
      </c>
      <c r="N14" s="40">
        <f t="shared" si="0"/>
        <v>554.01750000000004</v>
      </c>
      <c r="O14" s="40">
        <f t="shared" si="0"/>
        <v>109.72450000000001</v>
      </c>
      <c r="P14" s="40">
        <f t="shared" si="0"/>
        <v>4.7283333333333335</v>
      </c>
      <c r="Q14" s="64" t="s">
        <v>84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03" customFormat="1" ht="12" thickBot="1">
      <c r="A15" s="197"/>
      <c r="B15" s="198"/>
      <c r="C15" s="199" t="s">
        <v>115</v>
      </c>
      <c r="D15" s="200"/>
      <c r="E15" s="201">
        <v>77</v>
      </c>
      <c r="F15" s="201">
        <v>79</v>
      </c>
      <c r="G15" s="201">
        <v>335</v>
      </c>
      <c r="H15" s="201">
        <v>2350</v>
      </c>
      <c r="I15" s="202"/>
      <c r="J15" s="202"/>
      <c r="K15" s="202"/>
      <c r="L15" s="202"/>
      <c r="M15" s="202"/>
      <c r="N15" s="202"/>
      <c r="O15" s="202"/>
      <c r="P15" s="202"/>
      <c r="Q15" s="65" t="s">
        <v>85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3.5" thickBot="1">
      <c r="A16" s="30"/>
      <c r="B16" s="42"/>
      <c r="C16" s="60" t="s">
        <v>116</v>
      </c>
      <c r="D16" s="32"/>
      <c r="E16" s="59">
        <f>E14*100/E15</f>
        <v>53.831168831168831</v>
      </c>
      <c r="F16" s="59">
        <f>F14*100/F15</f>
        <v>27.590717299578056</v>
      </c>
      <c r="G16" s="59">
        <f>G14*100/G15</f>
        <v>26.823631840796018</v>
      </c>
      <c r="H16" s="59">
        <f>H14*100/H15</f>
        <v>30.761028368794321</v>
      </c>
      <c r="I16" s="40"/>
      <c r="J16" s="40"/>
      <c r="K16" s="40"/>
      <c r="L16" s="40"/>
      <c r="M16" s="40"/>
      <c r="N16" s="40"/>
      <c r="O16" s="40"/>
      <c r="P16" s="40"/>
      <c r="Q16" s="66" t="s">
        <v>91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</sheetData>
  <mergeCells count="13">
    <mergeCell ref="C7:C8"/>
    <mergeCell ref="A1:Q1"/>
    <mergeCell ref="A4:A5"/>
    <mergeCell ref="B4:B5"/>
    <mergeCell ref="C4:C5"/>
    <mergeCell ref="D4:D5"/>
    <mergeCell ref="M4:P4"/>
    <mergeCell ref="Q4:Q5"/>
    <mergeCell ref="E4:E5"/>
    <mergeCell ref="F4:F5"/>
    <mergeCell ref="G4:G5"/>
    <mergeCell ref="H4:H5"/>
    <mergeCell ref="I4:L4"/>
  </mergeCells>
  <phoneticPr fontId="3" type="noConversion"/>
  <pageMargins left="0.75" right="0.75" top="1" bottom="1" header="0.5" footer="0.5"/>
  <pageSetup paperSize="9" scale="78" orientation="landscape" r:id="rId1"/>
  <headerFooter alignWithMargins="0"/>
  <ignoredErrors>
    <ignoredError sqref="E15:H16 E14:H14 D14 I14:P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"/>
  <sheetViews>
    <sheetView workbookViewId="0">
      <selection sqref="A1:Q17"/>
    </sheetView>
  </sheetViews>
  <sheetFormatPr defaultRowHeight="12.75"/>
  <cols>
    <col min="1" max="1" width="6.28515625" style="4" customWidth="1"/>
    <col min="2" max="2" width="4" style="4" bestFit="1" customWidth="1"/>
    <col min="3" max="3" width="34.5703125" style="4" customWidth="1"/>
    <col min="4" max="4" width="4" style="4" bestFit="1" customWidth="1"/>
    <col min="5" max="7" width="5.42578125" style="4" bestFit="1" customWidth="1"/>
    <col min="8" max="8" width="6.42578125" style="4" bestFit="1" customWidth="1"/>
    <col min="9" max="9" width="4.42578125" style="4" bestFit="1" customWidth="1"/>
    <col min="10" max="11" width="5.42578125" style="4" bestFit="1" customWidth="1"/>
    <col min="12" max="12" width="4.42578125" style="4" bestFit="1" customWidth="1"/>
    <col min="13" max="15" width="6.42578125" style="4" bestFit="1" customWidth="1"/>
    <col min="16" max="16" width="4.42578125" bestFit="1" customWidth="1"/>
    <col min="17" max="17" width="46.5703125" bestFit="1" customWidth="1"/>
  </cols>
  <sheetData>
    <row r="1" spans="1:30" s="1" customFormat="1">
      <c r="A1" s="216" t="s">
        <v>129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>
      <c r="A2" s="4" t="s">
        <v>76</v>
      </c>
      <c r="P2" s="4"/>
    </row>
    <row r="3" spans="1:30" s="4" customFormat="1" ht="13.5" thickBot="1"/>
    <row r="4" spans="1:30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s="74" customFormat="1" ht="12.75" customHeight="1">
      <c r="A6" s="138" t="s">
        <v>80</v>
      </c>
      <c r="B6" s="52">
        <v>103</v>
      </c>
      <c r="C6" s="237" t="s">
        <v>177</v>
      </c>
      <c r="D6" s="236">
        <v>250</v>
      </c>
      <c r="E6" s="48">
        <f>[17]Лист1!$J$25</f>
        <v>1.95</v>
      </c>
      <c r="F6" s="48">
        <f>[17]Лист1!$J$26</f>
        <v>5.583333333333333</v>
      </c>
      <c r="G6" s="48">
        <f>[17]Лист1!$J$27</f>
        <v>13.45</v>
      </c>
      <c r="H6" s="49">
        <f>[17]Лист1!$J$28</f>
        <v>107.24999999999999</v>
      </c>
      <c r="I6" s="50">
        <f>[17]Лист1!$M$30</f>
        <v>9.166666666666666E-2</v>
      </c>
      <c r="J6" s="50">
        <f>[17]Лист1!$M$29</f>
        <v>9.875</v>
      </c>
      <c r="K6" s="50">
        <f>[17]Лист1!$M$31</f>
        <v>0</v>
      </c>
      <c r="L6" s="50">
        <f>[17]Лист1!$M$32</f>
        <v>2.35</v>
      </c>
      <c r="M6" s="50">
        <f>[17]Лист1!$M$25</f>
        <v>25.5</v>
      </c>
      <c r="N6" s="50">
        <f>[17]Лист1!$M$26</f>
        <v>61.25</v>
      </c>
      <c r="O6" s="50">
        <f>[17]Лист1!$M$27</f>
        <v>25.5</v>
      </c>
      <c r="P6" s="50">
        <f>[17]Лист1!$M$28</f>
        <v>0.97499999999999998</v>
      </c>
      <c r="Q6" s="207" t="s">
        <v>194</v>
      </c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1:30">
      <c r="A7" s="139"/>
      <c r="B7" s="41">
        <v>87</v>
      </c>
      <c r="C7" s="238"/>
      <c r="D7" s="229"/>
      <c r="E7" s="27">
        <f>[18]Лист1!$J$35</f>
        <v>7.15</v>
      </c>
      <c r="F7" s="27">
        <f>[18]Лист1!$J$36</f>
        <v>5.3</v>
      </c>
      <c r="G7" s="27">
        <f>[18]Лист1!$J$37</f>
        <v>0.6</v>
      </c>
      <c r="H7" s="28">
        <f>[18]Лист1!$J$38</f>
        <v>78.75</v>
      </c>
      <c r="I7" s="22">
        <f>[18]Лист1!$M$40</f>
        <v>1.7500000000000002E-2</v>
      </c>
      <c r="J7" s="22">
        <f>[18]Лист1!$M$39</f>
        <v>0.75</v>
      </c>
      <c r="K7" s="22">
        <f>[18]Лист1!$M$41</f>
        <v>30.45</v>
      </c>
      <c r="L7" s="22">
        <f>[18]Лист1!$M$42</f>
        <v>0.22500000000000001</v>
      </c>
      <c r="M7" s="22">
        <f>[18]Лист1!$M$35</f>
        <v>11.45</v>
      </c>
      <c r="N7" s="22">
        <f>[18]Лист1!$M$36</f>
        <v>52.7</v>
      </c>
      <c r="O7" s="22">
        <f>[18]Лист1!$M$37</f>
        <v>7.4749999999999996</v>
      </c>
      <c r="P7" s="22">
        <f>[18]Лист1!$M$38</f>
        <v>0.55833333333333335</v>
      </c>
      <c r="Q7" s="205" t="s">
        <v>156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>
      <c r="A8" s="139"/>
      <c r="B8" s="41">
        <v>307</v>
      </c>
      <c r="C8" s="25" t="s">
        <v>79</v>
      </c>
      <c r="D8" s="26">
        <v>100</v>
      </c>
      <c r="E8" s="27">
        <f>[19]Лист1!$J$26</f>
        <v>13.333333333333334</v>
      </c>
      <c r="F8" s="27">
        <f>[19]Лист1!$J$27</f>
        <v>2.6666666666666665</v>
      </c>
      <c r="G8" s="27">
        <f>[19]Лист1!$J$28</f>
        <v>16</v>
      </c>
      <c r="H8" s="28">
        <f>[19]Лист1!$J$29</f>
        <v>142.66666666666666</v>
      </c>
      <c r="I8" s="22">
        <f>[19]Лист1!$M$31</f>
        <v>0.14666666666666664</v>
      </c>
      <c r="J8" s="22">
        <f>[19]Лист1!$M$30</f>
        <v>0</v>
      </c>
      <c r="K8" s="22">
        <f>[19]Лист1!$M$32</f>
        <v>17.333333333333332</v>
      </c>
      <c r="L8" s="22">
        <f>[19]Лист1!$M$33</f>
        <v>1.3333333333333333</v>
      </c>
      <c r="M8" s="22">
        <f>[19]Лист1!$M$26</f>
        <v>66.666666666666671</v>
      </c>
      <c r="N8" s="22">
        <f>[19]Лист1!$M$27</f>
        <v>178.66666666666666</v>
      </c>
      <c r="O8" s="22">
        <f>[19]Лист1!$M$28</f>
        <v>28</v>
      </c>
      <c r="P8" s="22">
        <f>[19]Лист1!$M$29</f>
        <v>1</v>
      </c>
      <c r="Q8" s="62" t="s">
        <v>88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22.5">
      <c r="A9" s="139"/>
      <c r="B9" s="41">
        <v>377</v>
      </c>
      <c r="C9" s="25" t="s">
        <v>136</v>
      </c>
      <c r="D9" s="26">
        <v>200</v>
      </c>
      <c r="E9" s="27">
        <f>[20]Лист1!$J$35</f>
        <v>4.2</v>
      </c>
      <c r="F9" s="27">
        <f>[20]Лист1!$J$36</f>
        <v>8</v>
      </c>
      <c r="G9" s="27">
        <f>[20]Лист1!$J$37</f>
        <v>12.2</v>
      </c>
      <c r="H9" s="27">
        <f>[20]Лист1!$J$38</f>
        <v>136</v>
      </c>
      <c r="I9" s="22">
        <f>[20]Лист1!$M$40</f>
        <v>0.16</v>
      </c>
      <c r="J9" s="22">
        <f>[20]Лист1!$M$39</f>
        <v>5</v>
      </c>
      <c r="K9" s="22">
        <f>[20]Лист1!$M$41</f>
        <v>39.799999999999997</v>
      </c>
      <c r="L9" s="22">
        <f>[20]Лист1!$M$42</f>
        <v>0.2</v>
      </c>
      <c r="M9" s="22">
        <f>[20]Лист1!$M$35</f>
        <v>51</v>
      </c>
      <c r="N9" s="22">
        <f>[20]Лист1!$M$36</f>
        <v>103</v>
      </c>
      <c r="O9" s="22">
        <f>[20]Лист1!$M$37</f>
        <v>32.799999999999997</v>
      </c>
      <c r="P9" s="22">
        <f>[20]Лист1!$M$38</f>
        <v>1.1599999999999999</v>
      </c>
      <c r="Q9" s="215" t="s">
        <v>137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139"/>
      <c r="B10" s="41">
        <v>115</v>
      </c>
      <c r="C10" s="25" t="s">
        <v>12</v>
      </c>
      <c r="D10" s="26">
        <v>40</v>
      </c>
      <c r="E10" s="27">
        <v>2.64</v>
      </c>
      <c r="F10" s="27">
        <v>0.48</v>
      </c>
      <c r="G10" s="27">
        <v>13.6</v>
      </c>
      <c r="H10" s="27">
        <v>69.599999999999994</v>
      </c>
      <c r="I10" s="22">
        <v>0.08</v>
      </c>
      <c r="J10" s="22">
        <v>0</v>
      </c>
      <c r="K10" s="22">
        <v>0</v>
      </c>
      <c r="L10" s="22">
        <v>0.01</v>
      </c>
      <c r="M10" s="22">
        <v>14</v>
      </c>
      <c r="N10" s="22">
        <v>20</v>
      </c>
      <c r="O10" s="22">
        <v>18.8</v>
      </c>
      <c r="P10" s="22">
        <v>1.56</v>
      </c>
      <c r="Q10" s="20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139"/>
      <c r="B11" s="41">
        <v>114</v>
      </c>
      <c r="C11" s="25" t="s">
        <v>13</v>
      </c>
      <c r="D11" s="26">
        <v>45</v>
      </c>
      <c r="E11" s="27">
        <v>3.5550000000000002</v>
      </c>
      <c r="F11" s="27">
        <v>0.45</v>
      </c>
      <c r="G11" s="27">
        <v>21.734999999999999</v>
      </c>
      <c r="H11" s="27">
        <v>105.75</v>
      </c>
      <c r="I11" s="22">
        <v>0.09</v>
      </c>
      <c r="J11" s="22">
        <v>0</v>
      </c>
      <c r="K11" s="22">
        <v>0</v>
      </c>
      <c r="L11" s="22">
        <v>0.27</v>
      </c>
      <c r="M11" s="22">
        <v>10.35</v>
      </c>
      <c r="N11" s="22">
        <v>27</v>
      </c>
      <c r="O11" s="22">
        <v>14.85</v>
      </c>
      <c r="P11" s="22">
        <v>0.85499999999999998</v>
      </c>
      <c r="Q11" s="20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A12" s="139"/>
      <c r="B12" s="41">
        <v>495</v>
      </c>
      <c r="C12" s="25" t="s">
        <v>78</v>
      </c>
      <c r="D12" s="26">
        <v>200</v>
      </c>
      <c r="E12" s="27">
        <f>[21]Лист1!$J$23</f>
        <v>0.6</v>
      </c>
      <c r="F12" s="27">
        <f>[21]Лист1!$J$24</f>
        <v>0.1</v>
      </c>
      <c r="G12" s="28">
        <f>[21]Лист1!$J$25</f>
        <v>20.100000000000001</v>
      </c>
      <c r="H12" s="27">
        <f>[21]Лист1!$J$26</f>
        <v>84</v>
      </c>
      <c r="I12" s="22">
        <f>[21]Лист1!$M$28</f>
        <v>0.01</v>
      </c>
      <c r="J12" s="22">
        <f>[21]Лист1!$M$27</f>
        <v>0.2</v>
      </c>
      <c r="K12" s="22">
        <f>[21]Лист1!$M$29</f>
        <v>0</v>
      </c>
      <c r="L12" s="22">
        <f>[21]Лист1!$M$30</f>
        <v>0.4</v>
      </c>
      <c r="M12" s="22">
        <f>[21]Лист1!$M$23</f>
        <v>20.100000000000001</v>
      </c>
      <c r="N12" s="22">
        <f>[21]Лист1!$M$24</f>
        <v>19.2</v>
      </c>
      <c r="O12" s="22">
        <f>[21]Лист1!$M$25</f>
        <v>14.4</v>
      </c>
      <c r="P12" s="22">
        <f>[21]Лист1!$M$26</f>
        <v>0.69</v>
      </c>
      <c r="Q12" s="205" t="s">
        <v>90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>
      <c r="A13" s="24"/>
      <c r="B13" s="41"/>
      <c r="C13" s="25"/>
      <c r="D13" s="26"/>
      <c r="E13" s="27"/>
      <c r="F13" s="27"/>
      <c r="G13" s="28"/>
      <c r="H13" s="27"/>
      <c r="I13" s="22"/>
      <c r="J13" s="22"/>
      <c r="K13" s="22"/>
      <c r="L13" s="22"/>
      <c r="M13" s="22"/>
      <c r="N13" s="22"/>
      <c r="O13" s="22"/>
      <c r="P13" s="22"/>
      <c r="Q13" s="29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3.5" thickBot="1">
      <c r="A14" s="140"/>
      <c r="B14" s="41"/>
      <c r="C14" s="25"/>
      <c r="D14" s="26"/>
      <c r="E14" s="27"/>
      <c r="F14" s="27"/>
      <c r="G14" s="28"/>
      <c r="H14" s="27"/>
      <c r="I14" s="22"/>
      <c r="J14" s="22"/>
      <c r="K14" s="22"/>
      <c r="L14" s="22"/>
      <c r="M14" s="22"/>
      <c r="N14" s="22"/>
      <c r="O14" s="22"/>
      <c r="P14" s="22"/>
      <c r="Q14" s="29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3.5" thickBot="1">
      <c r="A15" s="30" t="s">
        <v>148</v>
      </c>
      <c r="B15" s="42"/>
      <c r="C15" s="31"/>
      <c r="D15" s="32">
        <f>SUM(D6:D14)</f>
        <v>835</v>
      </c>
      <c r="E15" s="40">
        <f>E14+E12+E11+E10+E9+E8+E7+E6+E13</f>
        <v>33.428333333333335</v>
      </c>
      <c r="F15" s="40">
        <f t="shared" ref="F15:P15" si="0">F14+F12+F11+F10+F9+F8+F7+F6+F13</f>
        <v>22.58</v>
      </c>
      <c r="G15" s="40">
        <f t="shared" si="0"/>
        <v>97.685000000000002</v>
      </c>
      <c r="H15" s="40">
        <f t="shared" si="0"/>
        <v>724.01666666666665</v>
      </c>
      <c r="I15" s="40">
        <f t="shared" si="0"/>
        <v>0.59583333333333321</v>
      </c>
      <c r="J15" s="40">
        <f t="shared" si="0"/>
        <v>15.824999999999999</v>
      </c>
      <c r="K15" s="40">
        <f t="shared" si="0"/>
        <v>87.583333333333329</v>
      </c>
      <c r="L15" s="40">
        <f t="shared" si="0"/>
        <v>4.788333333333334</v>
      </c>
      <c r="M15" s="40">
        <f t="shared" si="0"/>
        <v>199.06666666666666</v>
      </c>
      <c r="N15" s="40">
        <f t="shared" si="0"/>
        <v>461.81666666666666</v>
      </c>
      <c r="O15" s="40">
        <f t="shared" si="0"/>
        <v>141.82499999999999</v>
      </c>
      <c r="P15" s="40">
        <f t="shared" si="0"/>
        <v>6.7983333333333329</v>
      </c>
      <c r="Q15" s="64" t="s">
        <v>84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s="203" customFormat="1" ht="12" thickBot="1">
      <c r="A16" s="197"/>
      <c r="B16" s="198"/>
      <c r="C16" s="199" t="s">
        <v>115</v>
      </c>
      <c r="D16" s="200"/>
      <c r="E16" s="201">
        <v>77</v>
      </c>
      <c r="F16" s="201">
        <v>79</v>
      </c>
      <c r="G16" s="201">
        <v>335</v>
      </c>
      <c r="H16" s="201">
        <v>2350</v>
      </c>
      <c r="I16" s="202"/>
      <c r="J16" s="202"/>
      <c r="K16" s="202"/>
      <c r="L16" s="202"/>
      <c r="M16" s="202"/>
      <c r="N16" s="202"/>
      <c r="O16" s="202"/>
      <c r="P16" s="202"/>
      <c r="Q16" s="65" t="s">
        <v>85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1:30" ht="13.5" thickBot="1">
      <c r="A17" s="30"/>
      <c r="B17" s="42"/>
      <c r="C17" s="60" t="s">
        <v>116</v>
      </c>
      <c r="D17" s="32"/>
      <c r="E17" s="59">
        <f>E15*100/E16</f>
        <v>43.413419913419915</v>
      </c>
      <c r="F17" s="59">
        <f>F15*100/F16</f>
        <v>28.582278481012658</v>
      </c>
      <c r="G17" s="59">
        <f>G15*100/G16</f>
        <v>29.159701492537312</v>
      </c>
      <c r="H17" s="59">
        <f>H15*100/H16</f>
        <v>30.80921985815603</v>
      </c>
      <c r="I17" s="40"/>
      <c r="J17" s="40"/>
      <c r="K17" s="40"/>
      <c r="L17" s="40"/>
      <c r="M17" s="40"/>
      <c r="N17" s="40"/>
      <c r="O17" s="40"/>
      <c r="P17" s="40"/>
      <c r="Q17" s="66" t="s">
        <v>91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</sheetData>
  <mergeCells count="14">
    <mergeCell ref="D6:D7"/>
    <mergeCell ref="A1:Q1"/>
    <mergeCell ref="Q4:Q5"/>
    <mergeCell ref="A4:A5"/>
    <mergeCell ref="E4:E5"/>
    <mergeCell ref="B4:B5"/>
    <mergeCell ref="C4:C5"/>
    <mergeCell ref="D4:D5"/>
    <mergeCell ref="F4:F5"/>
    <mergeCell ref="G4:G5"/>
    <mergeCell ref="H4:H5"/>
    <mergeCell ref="I4:L4"/>
    <mergeCell ref="M4:P4"/>
    <mergeCell ref="C6:C7"/>
  </mergeCells>
  <phoneticPr fontId="3" type="noConversion"/>
  <pageMargins left="0.75" right="0.75" top="1" bottom="1" header="0.5" footer="0.5"/>
  <pageSetup paperSize="9" scale="82" orientation="landscape" r:id="rId1"/>
  <headerFooter alignWithMargins="0"/>
  <ignoredErrors>
    <ignoredError sqref="E16:H1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6"/>
  <sheetViews>
    <sheetView workbookViewId="0">
      <selection sqref="A1:Q16"/>
    </sheetView>
  </sheetViews>
  <sheetFormatPr defaultRowHeight="12.75"/>
  <cols>
    <col min="1" max="1" width="6.28515625" customWidth="1"/>
    <col min="2" max="2" width="5" customWidth="1"/>
    <col min="3" max="3" width="34.5703125" customWidth="1"/>
    <col min="4" max="4" width="4" bestFit="1" customWidth="1"/>
    <col min="5" max="6" width="5.42578125" bestFit="1" customWidth="1"/>
    <col min="7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5" width="6.42578125" bestFit="1" customWidth="1"/>
    <col min="16" max="16" width="4.42578125" bestFit="1" customWidth="1"/>
    <col min="17" max="17" width="45.7109375" customWidth="1"/>
  </cols>
  <sheetData>
    <row r="1" spans="1:30" s="4" customFormat="1">
      <c r="A1" s="216" t="s">
        <v>131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4" customFormat="1">
      <c r="A2" s="4" t="s">
        <v>70</v>
      </c>
      <c r="B2" s="5"/>
    </row>
    <row r="3" spans="1:30" s="4" customFormat="1" ht="13.5" thickBot="1"/>
    <row r="4" spans="1:30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s="74" customFormat="1">
      <c r="A6" s="69" t="s">
        <v>80</v>
      </c>
      <c r="B6" s="52">
        <v>101</v>
      </c>
      <c r="C6" s="58" t="s">
        <v>182</v>
      </c>
      <c r="D6" s="191">
        <v>250</v>
      </c>
      <c r="E6" s="70">
        <f>[22]Лист1!$J$37</f>
        <v>1.95</v>
      </c>
      <c r="F6" s="70">
        <f>[22]Лист1!$J$38</f>
        <v>5.583333333333333</v>
      </c>
      <c r="G6" s="70">
        <f>[22]Лист1!$J$39</f>
        <v>13.45</v>
      </c>
      <c r="H6" s="71">
        <f>[22]Лист1!$J$40</f>
        <v>107.24999999999999</v>
      </c>
      <c r="I6" s="72">
        <f>[22]Лист1!$M$42</f>
        <v>9.166666666666666E-2</v>
      </c>
      <c r="J6" s="72">
        <f>[22]Лист1!$M$41</f>
        <v>9.875</v>
      </c>
      <c r="K6" s="72">
        <f>[22]Лист1!$M$43</f>
        <v>0</v>
      </c>
      <c r="L6" s="72">
        <f>[22]Лист1!$M$44</f>
        <v>2.35</v>
      </c>
      <c r="M6" s="72">
        <f>[22]Лист1!$M$37</f>
        <v>25.5</v>
      </c>
      <c r="N6" s="72">
        <f>[22]Лист1!$M$38</f>
        <v>61.25</v>
      </c>
      <c r="O6" s="72">
        <f>[22]Лист1!$M$39</f>
        <v>25.5</v>
      </c>
      <c r="P6" s="72">
        <f>[22]Лист1!$M$40</f>
        <v>0.97499999999999998</v>
      </c>
      <c r="Q6" s="207" t="s">
        <v>117</v>
      </c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1:30" s="45" customFormat="1" ht="26.45" customHeight="1">
      <c r="A7" s="196"/>
      <c r="B7" s="41">
        <v>150</v>
      </c>
      <c r="C7" s="46" t="s">
        <v>92</v>
      </c>
      <c r="D7" s="47">
        <v>70</v>
      </c>
      <c r="E7" s="48">
        <f>[23]Лист1!$J$11</f>
        <v>1.33</v>
      </c>
      <c r="F7" s="48">
        <f>[23]Лист1!$J$12</f>
        <v>6.23</v>
      </c>
      <c r="G7" s="48">
        <f>[23]Лист1!$J$13</f>
        <v>5.39</v>
      </c>
      <c r="H7" s="49">
        <f>[23]Лист1!$J$14</f>
        <v>82.6</v>
      </c>
      <c r="I7" s="50">
        <f>[23]Лист1!$M$16</f>
        <v>1.4000000000000002E-2</v>
      </c>
      <c r="J7" s="50">
        <f>[23]Лист1!$M$15</f>
        <v>4.9000000000000004</v>
      </c>
      <c r="K7" s="50">
        <f>[23]Лист1!$M$17</f>
        <v>0</v>
      </c>
      <c r="L7" s="50">
        <f>[23]Лист1!$M$18</f>
        <v>2.17</v>
      </c>
      <c r="M7" s="50">
        <f>[23]Лист1!$M$11</f>
        <v>28.7</v>
      </c>
      <c r="N7" s="50">
        <f>[23]Лист1!$M$12</f>
        <v>25.9</v>
      </c>
      <c r="O7" s="50">
        <f>[23]Лист1!$M$13</f>
        <v>10.5</v>
      </c>
      <c r="P7" s="50">
        <f>[23]Лист1!$M$14</f>
        <v>0.49</v>
      </c>
      <c r="Q7" s="207" t="s">
        <v>93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>
      <c r="A8" s="24"/>
      <c r="B8" s="41">
        <v>307</v>
      </c>
      <c r="C8" s="25" t="s">
        <v>79</v>
      </c>
      <c r="D8" s="26">
        <v>100</v>
      </c>
      <c r="E8" s="27">
        <f>[19]Лист1!$J$26</f>
        <v>13.333333333333334</v>
      </c>
      <c r="F8" s="27">
        <f>[19]Лист1!$J$27</f>
        <v>2.6666666666666665</v>
      </c>
      <c r="G8" s="27">
        <f>[19]Лист1!$J$28</f>
        <v>16</v>
      </c>
      <c r="H8" s="28">
        <f>[19]Лист1!$J$29</f>
        <v>142.66666666666666</v>
      </c>
      <c r="I8" s="22">
        <f>[19]Лист1!$M$31</f>
        <v>0.14666666666666664</v>
      </c>
      <c r="J8" s="22">
        <f>[19]Лист1!$M$30</f>
        <v>0</v>
      </c>
      <c r="K8" s="22">
        <f>[19]Лист1!$M$32</f>
        <v>17.333333333333332</v>
      </c>
      <c r="L8" s="22">
        <f>[19]Лист1!$M$33</f>
        <v>1.3333333333333333</v>
      </c>
      <c r="M8" s="22">
        <f>[19]Лист1!$M$26</f>
        <v>66.666666666666671</v>
      </c>
      <c r="N8" s="22">
        <f>[19]Лист1!$M$27</f>
        <v>178.66666666666666</v>
      </c>
      <c r="O8" s="22">
        <f>[19]Лист1!$M$28</f>
        <v>28</v>
      </c>
      <c r="P8" s="22">
        <f>[19]Лист1!$M$29</f>
        <v>1</v>
      </c>
      <c r="Q8" s="62" t="s">
        <v>88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>
      <c r="A9" s="24"/>
      <c r="B9" s="41">
        <v>152</v>
      </c>
      <c r="C9" s="25" t="s">
        <v>157</v>
      </c>
      <c r="D9" s="26">
        <v>150</v>
      </c>
      <c r="E9" s="27">
        <f>[24]Лист1!$J$11</f>
        <v>2.85</v>
      </c>
      <c r="F9" s="27">
        <f>[24]Лист1!$J$12</f>
        <v>7.71</v>
      </c>
      <c r="G9" s="27">
        <f>[24]Лист1!$J$13</f>
        <v>15.855</v>
      </c>
      <c r="H9" s="27">
        <f>[24]Лист1!$J$14</f>
        <v>144.285</v>
      </c>
      <c r="I9" s="22">
        <f>[24]Лист1!$M$16</f>
        <v>1.6500000000000001E-2</v>
      </c>
      <c r="J9" s="22">
        <f>[24]Лист1!$M$15</f>
        <v>20.715</v>
      </c>
      <c r="K9" s="22">
        <f>[24]Лист1!$M$17</f>
        <v>0</v>
      </c>
      <c r="L9" s="22">
        <f>[24]Лист1!$M$18</f>
        <v>3.2850000000000001</v>
      </c>
      <c r="M9" s="22">
        <f>[24]Лист1!$M$11</f>
        <v>17.085000000000001</v>
      </c>
      <c r="N9" s="22">
        <f>[24]Лист1!$M$12</f>
        <v>78.142499999999998</v>
      </c>
      <c r="O9" s="22">
        <f>[24]Лист1!$M$13</f>
        <v>29.137499999999999</v>
      </c>
      <c r="P9" s="22">
        <f>[24]Лист1!$M$14</f>
        <v>1.155</v>
      </c>
      <c r="Q9" s="205" t="s">
        <v>158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24"/>
      <c r="B10" s="41">
        <v>115</v>
      </c>
      <c r="C10" s="25" t="s">
        <v>12</v>
      </c>
      <c r="D10" s="26">
        <v>25</v>
      </c>
      <c r="E10" s="27">
        <v>1.65</v>
      </c>
      <c r="F10" s="27">
        <v>0.3</v>
      </c>
      <c r="G10" s="27">
        <v>8.35</v>
      </c>
      <c r="H10" s="27">
        <v>43.5</v>
      </c>
      <c r="I10" s="22">
        <v>0.05</v>
      </c>
      <c r="J10" s="22">
        <v>0</v>
      </c>
      <c r="K10" s="22">
        <v>0</v>
      </c>
      <c r="L10" s="22">
        <v>8.0000000000000002E-3</v>
      </c>
      <c r="M10" s="22">
        <v>8.75</v>
      </c>
      <c r="N10" s="22">
        <v>12.5</v>
      </c>
      <c r="O10" s="22">
        <v>11.75</v>
      </c>
      <c r="P10" s="22">
        <v>0.97499999999999998</v>
      </c>
      <c r="Q10" s="20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24"/>
      <c r="B11" s="41">
        <v>114</v>
      </c>
      <c r="C11" s="25" t="s">
        <v>13</v>
      </c>
      <c r="D11" s="26">
        <v>45</v>
      </c>
      <c r="E11" s="27">
        <v>3.5550000000000002</v>
      </c>
      <c r="F11" s="27">
        <v>0.45</v>
      </c>
      <c r="G11" s="27">
        <v>21.734999999999999</v>
      </c>
      <c r="H11" s="27">
        <v>105.75</v>
      </c>
      <c r="I11" s="22">
        <v>0.09</v>
      </c>
      <c r="J11" s="22">
        <v>0</v>
      </c>
      <c r="K11" s="22">
        <v>0</v>
      </c>
      <c r="L11" s="22">
        <v>0.27</v>
      </c>
      <c r="M11" s="22">
        <v>10.35</v>
      </c>
      <c r="N11" s="22">
        <v>27</v>
      </c>
      <c r="O11" s="22">
        <v>14.85</v>
      </c>
      <c r="P11" s="22">
        <v>0.85499999999999998</v>
      </c>
      <c r="Q11" s="20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A12" s="24"/>
      <c r="B12" s="41">
        <v>495</v>
      </c>
      <c r="C12" s="25" t="s">
        <v>78</v>
      </c>
      <c r="D12" s="26">
        <v>200</v>
      </c>
      <c r="E12" s="27">
        <f>[21]Лист1!$J$23</f>
        <v>0.6</v>
      </c>
      <c r="F12" s="27">
        <f>[21]Лист1!$J$24</f>
        <v>0.1</v>
      </c>
      <c r="G12" s="28">
        <f>[21]Лист1!$J$25</f>
        <v>20.100000000000001</v>
      </c>
      <c r="H12" s="27">
        <f>[21]Лист1!$J$26</f>
        <v>84</v>
      </c>
      <c r="I12" s="22">
        <f>[21]Лист1!$M$28</f>
        <v>0.01</v>
      </c>
      <c r="J12" s="22">
        <f>[21]Лист1!$M$27</f>
        <v>0.2</v>
      </c>
      <c r="K12" s="22">
        <f>[21]Лист1!$M$29</f>
        <v>0</v>
      </c>
      <c r="L12" s="22">
        <f>[21]Лист1!$M$30</f>
        <v>0.4</v>
      </c>
      <c r="M12" s="22">
        <f>[21]Лист1!$M$23</f>
        <v>20.100000000000001</v>
      </c>
      <c r="N12" s="22">
        <f>[21]Лист1!$M$24</f>
        <v>19.2</v>
      </c>
      <c r="O12" s="22">
        <f>[21]Лист1!$M$25</f>
        <v>14.4</v>
      </c>
      <c r="P12" s="22">
        <f>[21]Лист1!$M$26</f>
        <v>0.69</v>
      </c>
      <c r="Q12" s="205" t="s">
        <v>90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3.5" thickBot="1">
      <c r="A13" s="24"/>
      <c r="B13" s="41"/>
      <c r="C13" s="25"/>
      <c r="D13" s="26"/>
      <c r="E13" s="27"/>
      <c r="F13" s="27"/>
      <c r="G13" s="27"/>
      <c r="H13" s="27"/>
      <c r="I13" s="22"/>
      <c r="J13" s="22"/>
      <c r="K13" s="22"/>
      <c r="L13" s="22"/>
      <c r="M13" s="22"/>
      <c r="N13" s="22"/>
      <c r="O13" s="22"/>
      <c r="P13" s="22"/>
      <c r="Q13" s="205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3.5" thickBot="1">
      <c r="A14" s="30" t="s">
        <v>160</v>
      </c>
      <c r="B14" s="42"/>
      <c r="C14" s="31"/>
      <c r="D14" s="32">
        <f>D13+D12+D11+D10+D9+D8+D7+D6</f>
        <v>840</v>
      </c>
      <c r="E14" s="40">
        <f t="shared" ref="E14:P14" si="0">E13+E12+E11+E10+E9+E8+E7+E6</f>
        <v>25.268333333333334</v>
      </c>
      <c r="F14" s="40">
        <f t="shared" si="0"/>
        <v>23.04</v>
      </c>
      <c r="G14" s="40">
        <f t="shared" si="0"/>
        <v>100.88000000000001</v>
      </c>
      <c r="H14" s="40">
        <f t="shared" si="0"/>
        <v>710.05166666666662</v>
      </c>
      <c r="I14" s="40">
        <f t="shared" si="0"/>
        <v>0.41883333333333328</v>
      </c>
      <c r="J14" s="40">
        <f t="shared" si="0"/>
        <v>35.69</v>
      </c>
      <c r="K14" s="40">
        <f t="shared" si="0"/>
        <v>17.333333333333332</v>
      </c>
      <c r="L14" s="40">
        <f t="shared" si="0"/>
        <v>9.8163333333333327</v>
      </c>
      <c r="M14" s="40">
        <f t="shared" si="0"/>
        <v>177.15166666666667</v>
      </c>
      <c r="N14" s="40">
        <f t="shared" si="0"/>
        <v>402.65916666666664</v>
      </c>
      <c r="O14" s="40">
        <f t="shared" si="0"/>
        <v>134.13749999999999</v>
      </c>
      <c r="P14" s="40">
        <f t="shared" si="0"/>
        <v>6.14</v>
      </c>
      <c r="Q14" s="64" t="s">
        <v>84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03" customFormat="1" ht="12" thickBot="1">
      <c r="A15" s="197"/>
      <c r="B15" s="198"/>
      <c r="C15" s="199" t="s">
        <v>115</v>
      </c>
      <c r="D15" s="200"/>
      <c r="E15" s="201">
        <v>77</v>
      </c>
      <c r="F15" s="201">
        <v>79</v>
      </c>
      <c r="G15" s="201">
        <v>335</v>
      </c>
      <c r="H15" s="201">
        <v>2350</v>
      </c>
      <c r="I15" s="202"/>
      <c r="J15" s="202"/>
      <c r="K15" s="202"/>
      <c r="L15" s="202"/>
      <c r="M15" s="202"/>
      <c r="N15" s="202"/>
      <c r="O15" s="202"/>
      <c r="P15" s="202"/>
      <c r="Q15" s="65" t="s">
        <v>85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3.5" thickBot="1">
      <c r="A16" s="30"/>
      <c r="B16" s="42"/>
      <c r="C16" s="60" t="s">
        <v>116</v>
      </c>
      <c r="D16" s="32"/>
      <c r="E16" s="59">
        <f>E14*100/E15</f>
        <v>32.816017316017316</v>
      </c>
      <c r="F16" s="59">
        <f>F14*100/F15</f>
        <v>29.164556962025316</v>
      </c>
      <c r="G16" s="59">
        <f>G14*100/G15</f>
        <v>30.113432835820902</v>
      </c>
      <c r="H16" s="59">
        <f>H14*100/H15</f>
        <v>30.214964539007088</v>
      </c>
      <c r="I16" s="40"/>
      <c r="J16" s="40"/>
      <c r="K16" s="40"/>
      <c r="L16" s="40"/>
      <c r="M16" s="40"/>
      <c r="N16" s="40"/>
      <c r="O16" s="40"/>
      <c r="P16" s="40"/>
      <c r="Q16" s="66" t="s">
        <v>91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</sheetData>
  <mergeCells count="12"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  <mergeCell ref="M4:P4"/>
  </mergeCells>
  <phoneticPr fontId="3" type="noConversion"/>
  <pageMargins left="0.75" right="0.75" top="1" bottom="1" header="0.5" footer="0.5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6"/>
  <sheetViews>
    <sheetView workbookViewId="0">
      <selection sqref="A1:Q16"/>
    </sheetView>
  </sheetViews>
  <sheetFormatPr defaultRowHeight="12.75"/>
  <cols>
    <col min="1" max="1" width="6.28515625" customWidth="1"/>
    <col min="2" max="2" width="4" bestFit="1" customWidth="1"/>
    <col min="3" max="3" width="34.570312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5" width="6.42578125" bestFit="1" customWidth="1"/>
    <col min="16" max="16" width="5.42578125" bestFit="1" customWidth="1"/>
    <col min="17" max="17" width="35.7109375" bestFit="1" customWidth="1"/>
  </cols>
  <sheetData>
    <row r="1" spans="1:30" s="5" customFormat="1">
      <c r="A1" s="216" t="s">
        <v>130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4" customFormat="1">
      <c r="A2" s="4" t="s">
        <v>71</v>
      </c>
      <c r="B2" s="5"/>
    </row>
    <row r="3" spans="1:30" s="4" customFormat="1" ht="13.5" thickBot="1"/>
    <row r="4" spans="1:30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>
      <c r="A6" s="61" t="s">
        <v>80</v>
      </c>
      <c r="B6" s="43">
        <v>128</v>
      </c>
      <c r="C6" s="230" t="s">
        <v>170</v>
      </c>
      <c r="D6" s="239">
        <v>200</v>
      </c>
      <c r="E6" s="35">
        <f>[6]Лист1!$J$11</f>
        <v>5.98</v>
      </c>
      <c r="F6" s="35">
        <f>[6]Лист1!$J$12</f>
        <v>2.94</v>
      </c>
      <c r="G6" s="35">
        <f>[6]Лист1!$J$13</f>
        <v>12.96</v>
      </c>
      <c r="H6" s="141">
        <f>[6]Лист1!$J$14</f>
        <v>102.20000000000002</v>
      </c>
      <c r="I6" s="23">
        <f>[6]Лист1!$M$16</f>
        <v>0.20666666666666667</v>
      </c>
      <c r="J6" s="23">
        <f>[6]Лист1!$M$15</f>
        <v>0.4</v>
      </c>
      <c r="K6" s="23">
        <f>[6]Лист1!$M$17</f>
        <v>16</v>
      </c>
      <c r="L6" s="23">
        <f>[6]Лист1!$M$18</f>
        <v>0.24</v>
      </c>
      <c r="M6" s="23">
        <f>[6]Лист1!$M$11</f>
        <v>37.4</v>
      </c>
      <c r="N6" s="23">
        <f>[6]Лист1!$M$12</f>
        <v>75.84</v>
      </c>
      <c r="O6" s="23">
        <f>[6]Лист1!$M$13</f>
        <v>29.4</v>
      </c>
      <c r="P6" s="23">
        <f>[6]Лист1!$M$14</f>
        <v>2.1466666666666665</v>
      </c>
      <c r="Q6" s="208" t="s">
        <v>117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24"/>
      <c r="B7" s="41">
        <v>87</v>
      </c>
      <c r="C7" s="231"/>
      <c r="D7" s="234"/>
      <c r="E7" s="27">
        <f>[25]Лист1!$W$11</f>
        <v>4.5759999999999996</v>
      </c>
      <c r="F7" s="27">
        <f>[25]Лист1!$W$12</f>
        <v>3.3919999999999999</v>
      </c>
      <c r="G7" s="27">
        <f>[25]Лист1!$W$13</f>
        <v>0.38399999999999995</v>
      </c>
      <c r="H7" s="28">
        <f>[25]Лист1!$W$14</f>
        <v>50.4</v>
      </c>
      <c r="I7" s="22">
        <f>[25]Лист1!$Z$16</f>
        <v>1.1200000000000002E-2</v>
      </c>
      <c r="J7" s="22">
        <f>[25]Лист1!$Z$15</f>
        <v>0.48</v>
      </c>
      <c r="K7" s="22">
        <f>[25]Лист1!$Z$17</f>
        <v>19.488</v>
      </c>
      <c r="L7" s="22">
        <f>[25]Лист1!$Z$18</f>
        <v>0.14400000000000002</v>
      </c>
      <c r="M7" s="22">
        <f>[25]Лист1!$Z$11</f>
        <v>7.3280000000000003</v>
      </c>
      <c r="N7" s="22">
        <f>[25]Лист1!$Z$12</f>
        <v>33.728000000000002</v>
      </c>
      <c r="O7" s="22">
        <f>[25]Лист1!$Z$13</f>
        <v>4.7839999999999998</v>
      </c>
      <c r="P7" s="22">
        <f>[25]Лист1!$Z$14</f>
        <v>0.35733333333333334</v>
      </c>
      <c r="Q7" s="205" t="s">
        <v>156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s="45" customFormat="1">
      <c r="A8" s="196"/>
      <c r="B8" s="44">
        <v>376</v>
      </c>
      <c r="C8" s="127" t="s">
        <v>186</v>
      </c>
      <c r="D8" s="128">
        <v>150</v>
      </c>
      <c r="E8" s="129">
        <f>[26]Лист1!$J$11</f>
        <v>16.998000000000001</v>
      </c>
      <c r="F8" s="129">
        <f>[26]Лист1!$J$12</f>
        <v>21</v>
      </c>
      <c r="G8" s="130">
        <f>[26]Лист1!$J$13</f>
        <v>13.997999999999998</v>
      </c>
      <c r="H8" s="129">
        <f>[26]Лист1!$J$14</f>
        <v>312.99599999999998</v>
      </c>
      <c r="I8" s="131">
        <f>[26]Лист1!$M$16</f>
        <v>0.13800000000000001</v>
      </c>
      <c r="J8" s="131">
        <f>[26]Лист1!$M$15</f>
        <v>8.6999999999999993</v>
      </c>
      <c r="K8" s="131">
        <f>[26]Лист1!$M$17</f>
        <v>60.996000000000002</v>
      </c>
      <c r="L8" s="131">
        <f>[26]Лист1!$M$18</f>
        <v>3.3</v>
      </c>
      <c r="M8" s="131">
        <f>[26]Лист1!$M$11</f>
        <v>30.995999999999995</v>
      </c>
      <c r="N8" s="131">
        <f>[26]Лист1!$M$12</f>
        <v>153</v>
      </c>
      <c r="O8" s="131">
        <f>[26]Лист1!$M$13</f>
        <v>42.996000000000002</v>
      </c>
      <c r="P8" s="131">
        <f>[26]Лист1!$M$14</f>
        <v>2.298</v>
      </c>
      <c r="Q8" s="213" t="s">
        <v>185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</row>
    <row r="9" spans="1:30" ht="12.75" customHeight="1">
      <c r="A9" s="24"/>
      <c r="B9" s="41">
        <v>115</v>
      </c>
      <c r="C9" s="25" t="s">
        <v>12</v>
      </c>
      <c r="D9" s="26">
        <v>25</v>
      </c>
      <c r="E9" s="27">
        <v>1.65</v>
      </c>
      <c r="F9" s="27">
        <v>0.3</v>
      </c>
      <c r="G9" s="27">
        <v>8.35</v>
      </c>
      <c r="H9" s="27">
        <v>43.5</v>
      </c>
      <c r="I9" s="22">
        <v>0.05</v>
      </c>
      <c r="J9" s="22">
        <v>0</v>
      </c>
      <c r="K9" s="22">
        <v>0</v>
      </c>
      <c r="L9" s="22">
        <v>8.0000000000000002E-3</v>
      </c>
      <c r="M9" s="22">
        <v>8.75</v>
      </c>
      <c r="N9" s="22">
        <v>12.5</v>
      </c>
      <c r="O9" s="22">
        <v>11.75</v>
      </c>
      <c r="P9" s="22">
        <v>0.97499999999999998</v>
      </c>
      <c r="Q9" s="205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24"/>
      <c r="B10" s="41">
        <v>114</v>
      </c>
      <c r="C10" s="25" t="s">
        <v>13</v>
      </c>
      <c r="D10" s="26">
        <v>30</v>
      </c>
      <c r="E10" s="27">
        <v>2.37</v>
      </c>
      <c r="F10" s="27">
        <v>0.3</v>
      </c>
      <c r="G10" s="27">
        <v>14.49</v>
      </c>
      <c r="H10" s="27">
        <v>70.5</v>
      </c>
      <c r="I10" s="22">
        <v>0.06</v>
      </c>
      <c r="J10" s="22">
        <v>0</v>
      </c>
      <c r="K10" s="22">
        <v>0.42749999999999999</v>
      </c>
      <c r="L10" s="22">
        <v>0.22500000000000001</v>
      </c>
      <c r="M10" s="22">
        <v>6.9</v>
      </c>
      <c r="N10" s="22">
        <v>22.5</v>
      </c>
      <c r="O10" s="22">
        <v>9.9</v>
      </c>
      <c r="P10" s="22">
        <v>0.56999999999999995</v>
      </c>
      <c r="Q10" s="20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22.5">
      <c r="A11" s="24"/>
      <c r="B11" s="41">
        <v>501</v>
      </c>
      <c r="C11" s="25" t="s">
        <v>133</v>
      </c>
      <c r="D11" s="26">
        <v>200</v>
      </c>
      <c r="E11" s="27">
        <f>[9]Лист1!$J$24</f>
        <v>1</v>
      </c>
      <c r="F11" s="27">
        <f>[9]Лист1!$J$25</f>
        <v>0.2</v>
      </c>
      <c r="G11" s="27">
        <f>[9]Лист1!$J$26</f>
        <v>20.2</v>
      </c>
      <c r="H11" s="28">
        <f>[9]Лист1!$J$27</f>
        <v>86</v>
      </c>
      <c r="I11" s="22">
        <f>[9]Лист1!$M$29</f>
        <v>0.02</v>
      </c>
      <c r="J11" s="22">
        <f>[9]Лист1!$M$28</f>
        <v>4</v>
      </c>
      <c r="K11" s="22">
        <f>[9]Лист1!$M$30</f>
        <v>0</v>
      </c>
      <c r="L11" s="22">
        <f>[9]Лист1!$M$31</f>
        <v>0.2</v>
      </c>
      <c r="M11" s="22">
        <f>[9]Лист1!$M$24</f>
        <v>14</v>
      </c>
      <c r="N11" s="22">
        <f>[9]Лист1!$M$25</f>
        <v>14</v>
      </c>
      <c r="O11" s="22">
        <f>[9]Лист1!$M$26</f>
        <v>8</v>
      </c>
      <c r="P11" s="22">
        <f>[9]Лист1!$M$27</f>
        <v>2.8</v>
      </c>
      <c r="Q11" s="215" t="s">
        <v>89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22.5">
      <c r="A12" s="24"/>
      <c r="B12" s="41">
        <v>82</v>
      </c>
      <c r="C12" s="25" t="s">
        <v>34</v>
      </c>
      <c r="D12" s="26">
        <v>100</v>
      </c>
      <c r="E12" s="27">
        <v>0.4</v>
      </c>
      <c r="F12" s="27">
        <v>0.4</v>
      </c>
      <c r="G12" s="27">
        <v>9.8000000000000007</v>
      </c>
      <c r="H12" s="28">
        <v>44</v>
      </c>
      <c r="I12" s="22">
        <v>0.03</v>
      </c>
      <c r="J12" s="22">
        <v>7</v>
      </c>
      <c r="K12" s="22">
        <v>0</v>
      </c>
      <c r="L12" s="22">
        <v>0.2</v>
      </c>
      <c r="M12" s="22">
        <v>16.100000000000001</v>
      </c>
      <c r="N12" s="22">
        <v>11</v>
      </c>
      <c r="O12" s="22">
        <v>9</v>
      </c>
      <c r="P12" s="22">
        <v>2.21</v>
      </c>
      <c r="Q12" s="215" t="s">
        <v>86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3.5" thickBot="1">
      <c r="A13" s="24"/>
      <c r="B13" s="41"/>
      <c r="C13" s="25"/>
      <c r="D13" s="26"/>
      <c r="E13" s="27"/>
      <c r="F13" s="27"/>
      <c r="G13" s="27"/>
      <c r="H13" s="28"/>
      <c r="I13" s="22"/>
      <c r="J13" s="22"/>
      <c r="K13" s="22"/>
      <c r="L13" s="22"/>
      <c r="M13" s="22"/>
      <c r="N13" s="22"/>
      <c r="O13" s="22"/>
      <c r="P13" s="22"/>
      <c r="Q13" s="205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3.5" thickBot="1">
      <c r="A14" s="30" t="s">
        <v>148</v>
      </c>
      <c r="B14" s="42"/>
      <c r="C14" s="31"/>
      <c r="D14" s="32">
        <f>D13+D12+D11+D10+D9+D8+D7+D6</f>
        <v>705</v>
      </c>
      <c r="E14" s="40">
        <f t="shared" ref="E14:P14" si="0">E13+E12+E11+E10+E9+E8+E7+E6</f>
        <v>32.974000000000004</v>
      </c>
      <c r="F14" s="40">
        <f t="shared" si="0"/>
        <v>28.532</v>
      </c>
      <c r="G14" s="40">
        <f t="shared" si="0"/>
        <v>80.181999999999988</v>
      </c>
      <c r="H14" s="40">
        <f t="shared" si="0"/>
        <v>709.596</v>
      </c>
      <c r="I14" s="40">
        <f t="shared" si="0"/>
        <v>0.5158666666666667</v>
      </c>
      <c r="J14" s="40">
        <f t="shared" si="0"/>
        <v>20.58</v>
      </c>
      <c r="K14" s="40">
        <f t="shared" si="0"/>
        <v>96.911500000000004</v>
      </c>
      <c r="L14" s="40">
        <f t="shared" si="0"/>
        <v>4.3170000000000002</v>
      </c>
      <c r="M14" s="40">
        <f t="shared" si="0"/>
        <v>121.47399999999999</v>
      </c>
      <c r="N14" s="40">
        <f t="shared" si="0"/>
        <v>322.56799999999998</v>
      </c>
      <c r="O14" s="40">
        <f t="shared" si="0"/>
        <v>115.83000000000001</v>
      </c>
      <c r="P14" s="40">
        <f t="shared" si="0"/>
        <v>11.356999999999999</v>
      </c>
      <c r="Q14" s="64" t="s">
        <v>84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03" customFormat="1" ht="12" thickBot="1">
      <c r="A15" s="197"/>
      <c r="B15" s="198"/>
      <c r="C15" s="199" t="s">
        <v>115</v>
      </c>
      <c r="D15" s="200"/>
      <c r="E15" s="201">
        <v>77</v>
      </c>
      <c r="F15" s="201">
        <v>79</v>
      </c>
      <c r="G15" s="201">
        <v>335</v>
      </c>
      <c r="H15" s="201">
        <v>2350</v>
      </c>
      <c r="I15" s="202"/>
      <c r="J15" s="202"/>
      <c r="K15" s="202"/>
      <c r="L15" s="202"/>
      <c r="M15" s="202"/>
      <c r="N15" s="202"/>
      <c r="O15" s="202"/>
      <c r="P15" s="202"/>
      <c r="Q15" s="65" t="s">
        <v>85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3.5" thickBot="1">
      <c r="A16" s="30"/>
      <c r="B16" s="42"/>
      <c r="C16" s="60" t="s">
        <v>116</v>
      </c>
      <c r="D16" s="32"/>
      <c r="E16" s="59">
        <f>E14*100/E15</f>
        <v>42.823376623376632</v>
      </c>
      <c r="F16" s="59">
        <f>F14*100/F15</f>
        <v>36.116455696202529</v>
      </c>
      <c r="G16" s="59">
        <f>G14*100/G15</f>
        <v>23.934925373134327</v>
      </c>
      <c r="H16" s="59">
        <f>H14*100/H15</f>
        <v>30.195574468085109</v>
      </c>
      <c r="I16" s="40"/>
      <c r="J16" s="40"/>
      <c r="K16" s="40"/>
      <c r="L16" s="40"/>
      <c r="M16" s="40"/>
      <c r="N16" s="40"/>
      <c r="O16" s="40"/>
      <c r="P16" s="40"/>
      <c r="Q16" s="66" t="s">
        <v>91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</sheetData>
  <mergeCells count="14">
    <mergeCell ref="C6:C7"/>
    <mergeCell ref="D6:D7"/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7" orientation="landscape" r:id="rId1"/>
  <headerFooter alignWithMargins="0"/>
  <ignoredErrors>
    <ignoredError sqref="E15:H16 E14:H14 D14 I14:P1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8"/>
  <sheetViews>
    <sheetView workbookViewId="0">
      <selection sqref="A1:Q16"/>
    </sheetView>
  </sheetViews>
  <sheetFormatPr defaultRowHeight="12.75"/>
  <cols>
    <col min="1" max="1" width="6.28515625" customWidth="1"/>
    <col min="2" max="2" width="5" customWidth="1"/>
    <col min="3" max="3" width="36.570312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1" width="5.42578125" bestFit="1" customWidth="1"/>
    <col min="12" max="12" width="4.42578125" bestFit="1" customWidth="1"/>
    <col min="13" max="13" width="5.42578125" bestFit="1" customWidth="1"/>
    <col min="14" max="14" width="6.42578125" bestFit="1" customWidth="1"/>
    <col min="15" max="15" width="5.42578125" bestFit="1" customWidth="1"/>
    <col min="16" max="16" width="4.42578125" bestFit="1" customWidth="1"/>
    <col min="17" max="17" width="38.85546875" bestFit="1" customWidth="1"/>
  </cols>
  <sheetData>
    <row r="1" spans="1:30" s="5" customFormat="1">
      <c r="A1" s="216" t="s">
        <v>125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4" customFormat="1">
      <c r="A2" s="4" t="s">
        <v>72</v>
      </c>
      <c r="B2" s="5"/>
    </row>
    <row r="3" spans="1:30" s="4" customFormat="1" ht="13.5" thickBot="1"/>
    <row r="4" spans="1:30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ht="22.5">
      <c r="A6" s="61" t="s">
        <v>80</v>
      </c>
      <c r="B6" s="52">
        <v>95</v>
      </c>
      <c r="C6" s="235" t="s">
        <v>141</v>
      </c>
      <c r="D6" s="236">
        <v>200</v>
      </c>
      <c r="E6" s="48">
        <f>[7]Лист1!$J$11</f>
        <v>1.44</v>
      </c>
      <c r="F6" s="48">
        <f>[7]Лист1!$J$12</f>
        <v>3.54</v>
      </c>
      <c r="G6" s="48">
        <f>[7]Лист1!$J$13</f>
        <v>5.72</v>
      </c>
      <c r="H6" s="49">
        <f>[7]Лист1!$J$14</f>
        <v>60.5</v>
      </c>
      <c r="I6" s="50">
        <f>[7]Лист1!$M$16</f>
        <v>0.04</v>
      </c>
      <c r="J6" s="50">
        <f>[7]Лист1!$M$15</f>
        <v>5.98</v>
      </c>
      <c r="K6" s="50">
        <f>[7]Лист1!$M$17</f>
        <v>0</v>
      </c>
      <c r="L6" s="50">
        <f>[7]Лист1!$M$18</f>
        <v>1.92</v>
      </c>
      <c r="M6" s="50">
        <f>[7]Лист1!$M$11</f>
        <v>32.700000000000003</v>
      </c>
      <c r="N6" s="50">
        <f>[7]Лист1!$M$12</f>
        <v>42.3</v>
      </c>
      <c r="O6" s="50">
        <f>[7]Лист1!$M$13</f>
        <v>20.54</v>
      </c>
      <c r="P6" s="50">
        <f>[7]Лист1!$M$14</f>
        <v>0.97199999999999986</v>
      </c>
      <c r="Q6" s="207" t="s">
        <v>118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24"/>
      <c r="B7" s="41">
        <v>89</v>
      </c>
      <c r="C7" s="230"/>
      <c r="D7" s="229"/>
      <c r="E7" s="27">
        <f>[7]Лист1!$W$11</f>
        <v>4.3679999999999994</v>
      </c>
      <c r="F7" s="27">
        <f>[7]Лист1!$W$12</f>
        <v>3.1040000000000001</v>
      </c>
      <c r="G7" s="27">
        <f>[7]Лист1!$W$13</f>
        <v>0.25600000000000001</v>
      </c>
      <c r="H7" s="28">
        <f>[7]Лист1!$W$14</f>
        <v>46.4</v>
      </c>
      <c r="I7" s="22">
        <f>[7]Лист1!$Z$16</f>
        <v>8.0000000000000002E-3</v>
      </c>
      <c r="J7" s="22">
        <f>[7]Лист1!$Z$15</f>
        <v>0.14400000000000002</v>
      </c>
      <c r="K7" s="22">
        <f>[7]Лист1!$Z$17</f>
        <v>0</v>
      </c>
      <c r="L7" s="22">
        <f>[7]Лист1!$Z$18</f>
        <v>0.112</v>
      </c>
      <c r="M7" s="22">
        <f>[7]Лист1!$Z$11</f>
        <v>3.8880000000000003</v>
      </c>
      <c r="N7" s="22">
        <f>[7]Лист1!$Z$12</f>
        <v>35.567999999999998</v>
      </c>
      <c r="O7" s="22">
        <f>[7]Лист1!$Z$13</f>
        <v>4.88</v>
      </c>
      <c r="P7" s="22">
        <f>[7]Лист1!$Z$14</f>
        <v>0.57600000000000007</v>
      </c>
      <c r="Q7" s="205" t="s">
        <v>142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22.5">
      <c r="A8" s="24"/>
      <c r="B8" s="41">
        <v>433</v>
      </c>
      <c r="C8" s="231"/>
      <c r="D8" s="26">
        <v>10</v>
      </c>
      <c r="E8" s="27">
        <f>[27]Лист1!$J$23</f>
        <v>0.24</v>
      </c>
      <c r="F8" s="27">
        <f>[27]Лист1!$J$24</f>
        <v>1.5</v>
      </c>
      <c r="G8" s="27">
        <f>[27]Лист1!$J$25</f>
        <v>0.32400000000000001</v>
      </c>
      <c r="H8" s="28">
        <f>[27]Лист1!$J$26</f>
        <v>15.75</v>
      </c>
      <c r="I8" s="22">
        <f>[27]Лист1!$M$16</f>
        <v>1.9199999999999998E-3</v>
      </c>
      <c r="J8" s="22">
        <f>[27]Лист1!$M$27</f>
        <v>0.02</v>
      </c>
      <c r="K8" s="22">
        <f>[27]Лист1!$M$29</f>
        <v>9.5</v>
      </c>
      <c r="L8" s="22">
        <f>[27]Лист1!$M$30</f>
        <v>0.03</v>
      </c>
      <c r="M8" s="22">
        <f>[27]Лист1!$M$23</f>
        <v>7.92</v>
      </c>
      <c r="N8" s="22">
        <f>[27]Лист1!$M$24</f>
        <v>5.1849999999999996</v>
      </c>
      <c r="O8" s="22">
        <f>[27]Лист1!$M$25</f>
        <v>0.81</v>
      </c>
      <c r="P8" s="22">
        <f>[27]Лист1!$M$26</f>
        <v>1.7999999999999999E-2</v>
      </c>
      <c r="Q8" s="215" t="s">
        <v>143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25.5">
      <c r="A9" s="24"/>
      <c r="B9" s="41">
        <v>43</v>
      </c>
      <c r="C9" s="46" t="s">
        <v>144</v>
      </c>
      <c r="D9" s="47">
        <v>80</v>
      </c>
      <c r="E9" s="48">
        <f>[28]Лист1!$J$23</f>
        <v>1.2</v>
      </c>
      <c r="F9" s="48">
        <f>[28]Лист1!$J$24</f>
        <v>5.04</v>
      </c>
      <c r="G9" s="48">
        <f>[28]Лист1!$J$25</f>
        <v>6.56</v>
      </c>
      <c r="H9" s="48">
        <f>[28]Лист1!$J$26</f>
        <v>76.8</v>
      </c>
      <c r="I9" s="50">
        <f>[28]Лист1!$M$28</f>
        <v>5.6000000000000008E-2</v>
      </c>
      <c r="J9" s="50">
        <f>[28]Лист1!$M$27</f>
        <v>8.56</v>
      </c>
      <c r="K9" s="50">
        <f>[28]Лист1!$M$29</f>
        <v>0</v>
      </c>
      <c r="L9" s="50">
        <f>[28]Лист1!$M$30</f>
        <v>2.2400000000000002</v>
      </c>
      <c r="M9" s="50">
        <f>[28]Лист1!$M$23</f>
        <v>11.2</v>
      </c>
      <c r="N9" s="50">
        <f>[28]Лист1!$M$24</f>
        <v>37.6</v>
      </c>
      <c r="O9" s="50">
        <f>[28]Лист1!$M$25</f>
        <v>14.4</v>
      </c>
      <c r="P9" s="50">
        <f>[28]Лист1!$M$26</f>
        <v>0.56000000000000005</v>
      </c>
      <c r="Q9" s="206" t="s">
        <v>145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24"/>
      <c r="B10" s="43">
        <v>333</v>
      </c>
      <c r="C10" s="53" t="s">
        <v>183</v>
      </c>
      <c r="D10" s="54">
        <v>160</v>
      </c>
      <c r="E10" s="55">
        <f>[29]Лист1!$J$11</f>
        <v>16</v>
      </c>
      <c r="F10" s="55">
        <f>[29]Лист1!$J$12</f>
        <v>19.2</v>
      </c>
      <c r="G10" s="55">
        <f>[29]Лист1!$J$13</f>
        <v>6.72</v>
      </c>
      <c r="H10" s="56">
        <f>[29]Лист1!$J$14</f>
        <v>262.39999999999998</v>
      </c>
      <c r="I10" s="57">
        <f>[29]Лист1!$M$16</f>
        <v>2.1000000000000001E-2</v>
      </c>
      <c r="J10" s="57">
        <f>[29]Лист1!$M$15</f>
        <v>6.09</v>
      </c>
      <c r="K10" s="57">
        <f>[29]Лист1!$M$17</f>
        <v>13.3</v>
      </c>
      <c r="L10" s="57">
        <f>[29]Лист1!$M$18</f>
        <v>0.21</v>
      </c>
      <c r="M10" s="57">
        <f>[29]Лист1!$M$11</f>
        <v>0</v>
      </c>
      <c r="N10" s="57">
        <f>[29]Лист1!$M$12</f>
        <v>84</v>
      </c>
      <c r="O10" s="57">
        <f>[29]Лист1!$M$13</f>
        <v>14</v>
      </c>
      <c r="P10" s="57">
        <f>[29]Лист1!$M$14</f>
        <v>1.141</v>
      </c>
      <c r="Q10" s="204" t="s">
        <v>184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24"/>
      <c r="B11" s="41">
        <v>115</v>
      </c>
      <c r="C11" s="25" t="s">
        <v>12</v>
      </c>
      <c r="D11" s="26">
        <v>25</v>
      </c>
      <c r="E11" s="27">
        <v>1.65</v>
      </c>
      <c r="F11" s="27">
        <v>0.3</v>
      </c>
      <c r="G11" s="27">
        <v>8.35</v>
      </c>
      <c r="H11" s="27">
        <v>43.5</v>
      </c>
      <c r="I11" s="22">
        <v>0.05</v>
      </c>
      <c r="J11" s="22">
        <v>0</v>
      </c>
      <c r="K11" s="22">
        <v>0</v>
      </c>
      <c r="L11" s="22">
        <v>8.0000000000000002E-3</v>
      </c>
      <c r="M11" s="22">
        <v>8.75</v>
      </c>
      <c r="N11" s="22">
        <v>12.5</v>
      </c>
      <c r="O11" s="22">
        <v>11.75</v>
      </c>
      <c r="P11" s="22">
        <v>0.97499999999999998</v>
      </c>
      <c r="Q11" s="20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A12" s="24"/>
      <c r="B12" s="41">
        <v>114</v>
      </c>
      <c r="C12" s="25" t="s">
        <v>13</v>
      </c>
      <c r="D12" s="26">
        <v>45</v>
      </c>
      <c r="E12" s="27">
        <v>3.5550000000000002</v>
      </c>
      <c r="F12" s="27">
        <v>0.45</v>
      </c>
      <c r="G12" s="27">
        <v>21.734999999999999</v>
      </c>
      <c r="H12" s="27">
        <v>105.75</v>
      </c>
      <c r="I12" s="22">
        <v>0.09</v>
      </c>
      <c r="J12" s="22">
        <v>0</v>
      </c>
      <c r="K12" s="22">
        <v>0</v>
      </c>
      <c r="L12" s="22">
        <v>0.27</v>
      </c>
      <c r="M12" s="22">
        <v>10.35</v>
      </c>
      <c r="N12" s="22">
        <v>27</v>
      </c>
      <c r="O12" s="22">
        <v>14.85</v>
      </c>
      <c r="P12" s="22">
        <v>0.85499999999999998</v>
      </c>
      <c r="Q12" s="205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23.25" thickBot="1">
      <c r="A13" s="63"/>
      <c r="B13" s="44">
        <v>483</v>
      </c>
      <c r="C13" s="36" t="s">
        <v>134</v>
      </c>
      <c r="D13" s="37">
        <v>200</v>
      </c>
      <c r="E13" s="38">
        <f>[30]Лист1!$J$24</f>
        <v>0.2</v>
      </c>
      <c r="F13" s="38">
        <f>[30]Лист1!$J$25</f>
        <v>0</v>
      </c>
      <c r="G13" s="39">
        <f>[30]Лист1!$J$26</f>
        <v>27.6</v>
      </c>
      <c r="H13" s="38">
        <f>[30]Лист1!$J$27</f>
        <v>110</v>
      </c>
      <c r="I13" s="22">
        <f>[30]Лист1!$M$29</f>
        <v>0</v>
      </c>
      <c r="J13" s="22">
        <f>[30]Лист1!$M$28</f>
        <v>0.04</v>
      </c>
      <c r="K13" s="22">
        <f>[30]Лист1!$M$30</f>
        <v>0</v>
      </c>
      <c r="L13" s="22">
        <f>[30]Лист1!$M$31</f>
        <v>0</v>
      </c>
      <c r="M13" s="22">
        <f>[30]Лист1!$M$24</f>
        <v>6.6</v>
      </c>
      <c r="N13" s="22">
        <f>[30]Лист1!$M$25</f>
        <v>7.8</v>
      </c>
      <c r="O13" s="22">
        <f>[30]Лист1!$M$26</f>
        <v>1.6</v>
      </c>
      <c r="P13" s="22">
        <f>[30]Лист1!$M$27</f>
        <v>0.32</v>
      </c>
      <c r="Q13" s="215" t="s">
        <v>104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3.5" thickBot="1">
      <c r="A14" s="30" t="s">
        <v>148</v>
      </c>
      <c r="B14" s="42"/>
      <c r="C14" s="31"/>
      <c r="D14" s="32">
        <f>D13+D12+D11+D10+D9+D8+D7+D6</f>
        <v>720</v>
      </c>
      <c r="E14" s="40">
        <f t="shared" ref="E14:P14" si="0">E13+E12+E11+E10+E9+E8+E7+E6</f>
        <v>28.652999999999999</v>
      </c>
      <c r="F14" s="40">
        <f t="shared" si="0"/>
        <v>33.134</v>
      </c>
      <c r="G14" s="40">
        <f t="shared" si="0"/>
        <v>77.265000000000001</v>
      </c>
      <c r="H14" s="40">
        <f t="shared" si="0"/>
        <v>721.09999999999991</v>
      </c>
      <c r="I14" s="40">
        <f t="shared" si="0"/>
        <v>0.26692000000000005</v>
      </c>
      <c r="J14" s="40">
        <f t="shared" si="0"/>
        <v>20.834000000000003</v>
      </c>
      <c r="K14" s="40">
        <f t="shared" si="0"/>
        <v>22.8</v>
      </c>
      <c r="L14" s="40">
        <f t="shared" si="0"/>
        <v>4.79</v>
      </c>
      <c r="M14" s="40">
        <f t="shared" si="0"/>
        <v>81.408000000000001</v>
      </c>
      <c r="N14" s="40">
        <f t="shared" si="0"/>
        <v>251.95300000000003</v>
      </c>
      <c r="O14" s="40">
        <f t="shared" si="0"/>
        <v>82.830000000000013</v>
      </c>
      <c r="P14" s="40">
        <f t="shared" si="0"/>
        <v>5.4169999999999998</v>
      </c>
      <c r="Q14" s="64" t="s">
        <v>84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03" customFormat="1" ht="12" thickBot="1">
      <c r="A15" s="197"/>
      <c r="B15" s="198"/>
      <c r="C15" s="199" t="s">
        <v>115</v>
      </c>
      <c r="D15" s="200"/>
      <c r="E15" s="201">
        <v>77</v>
      </c>
      <c r="F15" s="201">
        <v>79</v>
      </c>
      <c r="G15" s="201">
        <v>335</v>
      </c>
      <c r="H15" s="201">
        <v>2350</v>
      </c>
      <c r="I15" s="202"/>
      <c r="J15" s="202"/>
      <c r="K15" s="202"/>
      <c r="L15" s="202"/>
      <c r="M15" s="202"/>
      <c r="N15" s="202"/>
      <c r="O15" s="202"/>
      <c r="P15" s="202"/>
      <c r="Q15" s="65" t="s">
        <v>85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3.5" thickBot="1">
      <c r="A16" s="30"/>
      <c r="B16" s="42"/>
      <c r="C16" s="60" t="s">
        <v>116</v>
      </c>
      <c r="D16" s="32"/>
      <c r="E16" s="59">
        <f>E14*100/E15</f>
        <v>37.211688311688306</v>
      </c>
      <c r="F16" s="59">
        <f>F14*100/F15</f>
        <v>41.941772151898732</v>
      </c>
      <c r="G16" s="59">
        <f>G14*100/G15</f>
        <v>23.064179104477613</v>
      </c>
      <c r="H16" s="59">
        <f>H14*100/H15</f>
        <v>30.685106382978717</v>
      </c>
      <c r="I16" s="40"/>
      <c r="J16" s="40"/>
      <c r="K16" s="40"/>
      <c r="L16" s="40"/>
      <c r="M16" s="40"/>
      <c r="N16" s="40"/>
      <c r="O16" s="40"/>
      <c r="P16" s="40"/>
      <c r="Q16" s="66" t="s">
        <v>91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</sheetData>
  <mergeCells count="14">
    <mergeCell ref="C6:C8"/>
    <mergeCell ref="D6:D7"/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7"/>
  <sheetViews>
    <sheetView workbookViewId="0">
      <selection sqref="A1:Q16"/>
    </sheetView>
  </sheetViews>
  <sheetFormatPr defaultRowHeight="12.75"/>
  <cols>
    <col min="1" max="1" width="6.28515625" customWidth="1"/>
    <col min="2" max="2" width="4" bestFit="1" customWidth="1"/>
    <col min="3" max="3" width="35.7109375" customWidth="1"/>
    <col min="4" max="4" width="4" bestFit="1" customWidth="1"/>
    <col min="5" max="7" width="5.42578125" bestFit="1" customWidth="1"/>
    <col min="8" max="8" width="6.42578125" bestFit="1" customWidth="1"/>
    <col min="9" max="9" width="4.42578125" bestFit="1" customWidth="1"/>
    <col min="10" max="10" width="5.42578125" bestFit="1" customWidth="1"/>
    <col min="11" max="11" width="6.42578125" bestFit="1" customWidth="1"/>
    <col min="12" max="12" width="4.42578125" bestFit="1" customWidth="1"/>
    <col min="13" max="15" width="6.42578125" bestFit="1" customWidth="1"/>
    <col min="16" max="16" width="4.42578125" bestFit="1" customWidth="1"/>
    <col min="17" max="17" width="39.28515625" bestFit="1" customWidth="1"/>
  </cols>
  <sheetData>
    <row r="1" spans="1:30" s="4" customFormat="1">
      <c r="A1" s="216" t="s">
        <v>126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30" s="4" customFormat="1">
      <c r="A2" s="4" t="s">
        <v>73</v>
      </c>
      <c r="B2" s="5"/>
    </row>
    <row r="3" spans="1:30" s="4" customFormat="1" ht="13.5" thickBot="1"/>
    <row r="4" spans="1:30" s="45" customFormat="1" ht="12.75" customHeight="1">
      <c r="A4" s="222" t="s">
        <v>105</v>
      </c>
      <c r="B4" s="224" t="s">
        <v>106</v>
      </c>
      <c r="C4" s="226" t="s">
        <v>107</v>
      </c>
      <c r="D4" s="224" t="s">
        <v>108</v>
      </c>
      <c r="E4" s="224" t="s">
        <v>110</v>
      </c>
      <c r="F4" s="224" t="s">
        <v>111</v>
      </c>
      <c r="G4" s="224" t="s">
        <v>112</v>
      </c>
      <c r="H4" s="224" t="s">
        <v>109</v>
      </c>
      <c r="I4" s="219" t="s">
        <v>0</v>
      </c>
      <c r="J4" s="220"/>
      <c r="K4" s="220"/>
      <c r="L4" s="221"/>
      <c r="M4" s="219" t="s">
        <v>5</v>
      </c>
      <c r="N4" s="220"/>
      <c r="O4" s="220"/>
      <c r="P4" s="221"/>
      <c r="Q4" s="217" t="s">
        <v>83</v>
      </c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0" s="45" customFormat="1" ht="13.5" thickBot="1">
      <c r="A5" s="223"/>
      <c r="B5" s="225"/>
      <c r="C5" s="227"/>
      <c r="D5" s="225"/>
      <c r="E5" s="225"/>
      <c r="F5" s="225"/>
      <c r="G5" s="225"/>
      <c r="H5" s="225"/>
      <c r="I5" s="77" t="s">
        <v>1</v>
      </c>
      <c r="J5" s="77" t="s">
        <v>2</v>
      </c>
      <c r="K5" s="77" t="s">
        <v>3</v>
      </c>
      <c r="L5" s="77" t="s">
        <v>4</v>
      </c>
      <c r="M5" s="78" t="s">
        <v>6</v>
      </c>
      <c r="N5" s="77" t="s">
        <v>7</v>
      </c>
      <c r="O5" s="77" t="s">
        <v>8</v>
      </c>
      <c r="P5" s="77" t="s">
        <v>9</v>
      </c>
      <c r="Q5" s="218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s="74" customFormat="1" ht="12.75" customHeight="1">
      <c r="A6" s="69" t="s">
        <v>80</v>
      </c>
      <c r="B6" s="52">
        <v>103</v>
      </c>
      <c r="C6" s="235" t="s">
        <v>171</v>
      </c>
      <c r="D6" s="236">
        <v>200</v>
      </c>
      <c r="E6" s="48">
        <f>[17]Лист1!$J$11</f>
        <v>1.56</v>
      </c>
      <c r="F6" s="48">
        <f>[17]Лист1!$J$12</f>
        <v>4.4666666666666668</v>
      </c>
      <c r="G6" s="48">
        <f>[17]Лист1!$J$13</f>
        <v>10.76</v>
      </c>
      <c r="H6" s="49">
        <f>[17]Лист1!$J$14</f>
        <v>85.799999999999983</v>
      </c>
      <c r="I6" s="50">
        <f>[17]Лист1!$M$16</f>
        <v>7.3333333333333334E-2</v>
      </c>
      <c r="J6" s="50">
        <f>[17]Лист1!$M$15</f>
        <v>7.9</v>
      </c>
      <c r="K6" s="50">
        <f>[17]Лист1!$M$17</f>
        <v>0</v>
      </c>
      <c r="L6" s="50">
        <f>[17]Лист1!$M$18</f>
        <v>1.88</v>
      </c>
      <c r="M6" s="50">
        <f>[17]Лист1!$M$11</f>
        <v>20.399999999999999</v>
      </c>
      <c r="N6" s="50">
        <f>[17]Лист1!$M$12</f>
        <v>49</v>
      </c>
      <c r="O6" s="50">
        <f>[17]Лист1!$M$13</f>
        <v>20.399999999999999</v>
      </c>
      <c r="P6" s="50">
        <f>[17]Лист1!$M$14</f>
        <v>0.78</v>
      </c>
      <c r="Q6" s="207" t="s">
        <v>172</v>
      </c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</row>
    <row r="7" spans="1:30">
      <c r="A7" s="24"/>
      <c r="B7" s="41">
        <v>87</v>
      </c>
      <c r="C7" s="231"/>
      <c r="D7" s="229"/>
      <c r="E7" s="27">
        <f>[25]Лист1!$W$11</f>
        <v>4.5759999999999996</v>
      </c>
      <c r="F7" s="27">
        <f>[25]Лист1!$W$12</f>
        <v>3.3919999999999999</v>
      </c>
      <c r="G7" s="27">
        <f>[25]Лист1!$W$13</f>
        <v>0.38399999999999995</v>
      </c>
      <c r="H7" s="28">
        <f>[25]Лист1!$W$14</f>
        <v>50.4</v>
      </c>
      <c r="I7" s="22">
        <f>[25]Лист1!$Z$16</f>
        <v>1.1200000000000002E-2</v>
      </c>
      <c r="J7" s="22">
        <f>[25]Лист1!$Z$15</f>
        <v>0.48</v>
      </c>
      <c r="K7" s="22">
        <f>[25]Лист1!$Z$17</f>
        <v>19.488</v>
      </c>
      <c r="L7" s="22">
        <f>[25]Лист1!$Z$18</f>
        <v>0.14400000000000002</v>
      </c>
      <c r="M7" s="22">
        <f>[25]Лист1!$Z$11</f>
        <v>7.3280000000000003</v>
      </c>
      <c r="N7" s="22">
        <f>[25]Лист1!$Z$12</f>
        <v>33.728000000000002</v>
      </c>
      <c r="O7" s="22">
        <f>[25]Лист1!$Z$13</f>
        <v>4.7839999999999998</v>
      </c>
      <c r="P7" s="22">
        <f>[25]Лист1!$Z$14</f>
        <v>0.35733333333333334</v>
      </c>
      <c r="Q7" s="205" t="s">
        <v>156</v>
      </c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22.5">
      <c r="A8" s="24"/>
      <c r="B8" s="41">
        <v>373</v>
      </c>
      <c r="C8" s="25" t="s">
        <v>173</v>
      </c>
      <c r="D8" s="26">
        <v>90</v>
      </c>
      <c r="E8" s="27">
        <f>[31]Лист1!$I$11</f>
        <v>17.010000000000002</v>
      </c>
      <c r="F8" s="27">
        <f>[31]Лист1!$I$12</f>
        <v>11.79</v>
      </c>
      <c r="G8" s="27">
        <f>[31]Лист1!$I$13</f>
        <v>6.48</v>
      </c>
      <c r="H8" s="27">
        <f>[31]Лист1!$I$14</f>
        <v>200.70000000000002</v>
      </c>
      <c r="I8" s="22">
        <f>[31]Лист1!$L$16</f>
        <v>0.126</v>
      </c>
      <c r="J8" s="22">
        <f>[31]Лист1!$L$15</f>
        <v>1.44</v>
      </c>
      <c r="K8" s="22">
        <f>[31]Лист1!$L$17</f>
        <v>79.739999999999995</v>
      </c>
      <c r="L8" s="22">
        <f>[31]Лист1!$L$18</f>
        <v>2.9699999999999998</v>
      </c>
      <c r="M8" s="22">
        <f>[31]Лист1!$L$11</f>
        <v>182.07</v>
      </c>
      <c r="N8" s="22">
        <f>[31]Лист1!$L$12</f>
        <v>174.23999999999998</v>
      </c>
      <c r="O8" s="22">
        <f>[31]Лист1!$L$13</f>
        <v>29.160000000000004</v>
      </c>
      <c r="P8" s="22">
        <f>[31]Лист1!$L$14</f>
        <v>1.425</v>
      </c>
      <c r="Q8" s="215" t="s">
        <v>174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22.5">
      <c r="A9" s="24"/>
      <c r="B9" s="41">
        <v>223</v>
      </c>
      <c r="C9" s="25" t="s">
        <v>175</v>
      </c>
      <c r="D9" s="26">
        <v>150</v>
      </c>
      <c r="E9" s="27">
        <f>[32]Лист1!$J$11</f>
        <v>6.3</v>
      </c>
      <c r="F9" s="27">
        <f>[32]Лист1!$J$12</f>
        <v>5.7</v>
      </c>
      <c r="G9" s="27">
        <f>[32]Лист1!$J$13</f>
        <v>27.6</v>
      </c>
      <c r="H9" s="27">
        <f>[32]Лист1!$J$14</f>
        <v>187.5</v>
      </c>
      <c r="I9" s="22">
        <f>[32]Лист1!$M$16</f>
        <v>0.13500000000000001</v>
      </c>
      <c r="J9" s="22">
        <f>[32]Лист1!$M$15</f>
        <v>0.93</v>
      </c>
      <c r="K9" s="22">
        <f>[32]Лист1!$M$17</f>
        <v>28.65</v>
      </c>
      <c r="L9" s="22">
        <f>[32]Лист1!$M$18</f>
        <v>0.1482</v>
      </c>
      <c r="M9" s="22">
        <f>[32]Лист1!$M$11</f>
        <v>9.75</v>
      </c>
      <c r="N9" s="22">
        <f>[32]Лист1!$M$12</f>
        <v>150.9</v>
      </c>
      <c r="O9" s="22">
        <f>[32]Лист1!$M$13</f>
        <v>40.5</v>
      </c>
      <c r="P9" s="22">
        <f>[32]Лист1!$M$14</f>
        <v>1.08</v>
      </c>
      <c r="Q9" s="215" t="s">
        <v>176</v>
      </c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>
      <c r="A10" s="24"/>
      <c r="B10" s="41">
        <v>115</v>
      </c>
      <c r="C10" s="25" t="s">
        <v>12</v>
      </c>
      <c r="D10" s="26">
        <v>25</v>
      </c>
      <c r="E10" s="27">
        <v>1.65</v>
      </c>
      <c r="F10" s="27">
        <v>0.3</v>
      </c>
      <c r="G10" s="27">
        <v>8.35</v>
      </c>
      <c r="H10" s="27">
        <v>43.5</v>
      </c>
      <c r="I10" s="22">
        <v>0.05</v>
      </c>
      <c r="J10" s="22">
        <v>0</v>
      </c>
      <c r="K10" s="22">
        <v>0</v>
      </c>
      <c r="L10" s="22">
        <v>8.0000000000000002E-3</v>
      </c>
      <c r="M10" s="22">
        <v>8.75</v>
      </c>
      <c r="N10" s="22">
        <v>12.5</v>
      </c>
      <c r="O10" s="22">
        <v>11.75</v>
      </c>
      <c r="P10" s="22">
        <v>0.97499999999999998</v>
      </c>
      <c r="Q10" s="20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>
      <c r="A11" s="24"/>
      <c r="B11" s="41">
        <v>114</v>
      </c>
      <c r="C11" s="25" t="s">
        <v>13</v>
      </c>
      <c r="D11" s="26">
        <v>45</v>
      </c>
      <c r="E11" s="27">
        <v>3.5550000000000002</v>
      </c>
      <c r="F11" s="27">
        <v>0.45</v>
      </c>
      <c r="G11" s="27">
        <v>21.734999999999999</v>
      </c>
      <c r="H11" s="27">
        <v>105.75</v>
      </c>
      <c r="I11" s="22">
        <v>0.09</v>
      </c>
      <c r="J11" s="22">
        <v>0</v>
      </c>
      <c r="K11" s="22">
        <v>0</v>
      </c>
      <c r="L11" s="22">
        <v>0.27</v>
      </c>
      <c r="M11" s="22">
        <v>10.35</v>
      </c>
      <c r="N11" s="22">
        <v>27</v>
      </c>
      <c r="O11" s="22">
        <v>14.85</v>
      </c>
      <c r="P11" s="22">
        <v>0.85499999999999998</v>
      </c>
      <c r="Q11" s="205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>
      <c r="A12" s="24"/>
      <c r="B12" s="41">
        <v>457</v>
      </c>
      <c r="C12" s="25" t="s">
        <v>197</v>
      </c>
      <c r="D12" s="26">
        <v>200</v>
      </c>
      <c r="E12" s="27">
        <f>[33]Лист1!$J$24</f>
        <v>0.2</v>
      </c>
      <c r="F12" s="27">
        <f>[33]Лист1!$J$25</f>
        <v>0.1</v>
      </c>
      <c r="G12" s="27">
        <f>[33]Лист1!$J$26</f>
        <v>9.3000000000000007</v>
      </c>
      <c r="H12" s="28">
        <f>[33]Лист1!$J$27</f>
        <v>38</v>
      </c>
      <c r="I12" s="22">
        <f>[33]Лист1!$M$29</f>
        <v>0.03</v>
      </c>
      <c r="J12" s="22">
        <f>[33]Лист1!$M$28</f>
        <v>0.7</v>
      </c>
      <c r="K12" s="22">
        <f>[33]Лист1!$M$30</f>
        <v>19</v>
      </c>
      <c r="L12" s="22">
        <f>[33]Лист1!$M$31</f>
        <v>0</v>
      </c>
      <c r="M12" s="22">
        <f>[33]Лист1!$M$24</f>
        <v>108.3</v>
      </c>
      <c r="N12" s="22">
        <f>[33]Лист1!$M$25</f>
        <v>76.5</v>
      </c>
      <c r="O12" s="22">
        <f>[33]Лист1!$M$26</f>
        <v>12.6</v>
      </c>
      <c r="P12" s="22">
        <f>[33]Лист1!$M$27</f>
        <v>0.12</v>
      </c>
      <c r="Q12" s="205" t="s">
        <v>198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3.5" thickBot="1">
      <c r="A13" s="24"/>
      <c r="B13" s="41"/>
      <c r="C13" s="25"/>
      <c r="D13" s="26"/>
      <c r="E13" s="27"/>
      <c r="F13" s="27"/>
      <c r="G13" s="27"/>
      <c r="H13" s="28"/>
      <c r="I13" s="22"/>
      <c r="J13" s="22"/>
      <c r="K13" s="22"/>
      <c r="L13" s="22"/>
      <c r="M13" s="22"/>
      <c r="N13" s="22"/>
      <c r="O13" s="22"/>
      <c r="P13" s="22"/>
      <c r="Q13" s="205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3.5" thickBot="1">
      <c r="A14" s="30" t="s">
        <v>148</v>
      </c>
      <c r="B14" s="42"/>
      <c r="C14" s="31"/>
      <c r="D14" s="32">
        <f>D13+D12+D11+D10+D9+D8+D7+D6</f>
        <v>710</v>
      </c>
      <c r="E14" s="40">
        <f t="shared" ref="E14:P14" si="0">E13+E12+E11+E10+E9+E8+E7+E6</f>
        <v>34.851000000000006</v>
      </c>
      <c r="F14" s="40">
        <f t="shared" si="0"/>
        <v>26.198666666666668</v>
      </c>
      <c r="G14" s="40">
        <f t="shared" si="0"/>
        <v>84.609000000000009</v>
      </c>
      <c r="H14" s="40">
        <f>H13+H12+H11+H10+H9+H8+H7+H6</f>
        <v>711.65</v>
      </c>
      <c r="I14" s="40">
        <f t="shared" si="0"/>
        <v>0.51553333333333329</v>
      </c>
      <c r="J14" s="40">
        <f t="shared" si="0"/>
        <v>11.45</v>
      </c>
      <c r="K14" s="40">
        <f t="shared" si="0"/>
        <v>146.87799999999999</v>
      </c>
      <c r="L14" s="40">
        <f t="shared" si="0"/>
        <v>5.4201999999999995</v>
      </c>
      <c r="M14" s="40">
        <f t="shared" si="0"/>
        <v>346.94799999999992</v>
      </c>
      <c r="N14" s="40">
        <f t="shared" si="0"/>
        <v>523.86799999999994</v>
      </c>
      <c r="O14" s="40">
        <f t="shared" si="0"/>
        <v>134.04400000000001</v>
      </c>
      <c r="P14" s="40">
        <f t="shared" si="0"/>
        <v>5.5923333333333334</v>
      </c>
      <c r="Q14" s="64" t="s">
        <v>84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s="203" customFormat="1" ht="12" thickBot="1">
      <c r="A15" s="197"/>
      <c r="B15" s="198"/>
      <c r="C15" s="199" t="s">
        <v>115</v>
      </c>
      <c r="D15" s="200"/>
      <c r="E15" s="201">
        <v>77</v>
      </c>
      <c r="F15" s="201">
        <v>79</v>
      </c>
      <c r="G15" s="201">
        <v>335</v>
      </c>
      <c r="H15" s="201">
        <v>2350</v>
      </c>
      <c r="I15" s="202"/>
      <c r="J15" s="202"/>
      <c r="K15" s="202"/>
      <c r="L15" s="202"/>
      <c r="M15" s="202"/>
      <c r="N15" s="202"/>
      <c r="O15" s="202"/>
      <c r="P15" s="202"/>
      <c r="Q15" s="65" t="s">
        <v>85</v>
      </c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ht="13.5" thickBot="1">
      <c r="A16" s="30"/>
      <c r="B16" s="42"/>
      <c r="C16" s="60" t="s">
        <v>116</v>
      </c>
      <c r="D16" s="32"/>
      <c r="E16" s="59">
        <f>E14*100/E15</f>
        <v>45.26103896103897</v>
      </c>
      <c r="F16" s="59">
        <f>F14*100/F15</f>
        <v>33.162869198312237</v>
      </c>
      <c r="G16" s="59">
        <f>G14*100/G15</f>
        <v>25.256417910447766</v>
      </c>
      <c r="H16" s="59">
        <f>H14*100/H15</f>
        <v>30.282978723404256</v>
      </c>
      <c r="I16" s="40"/>
      <c r="J16" s="40"/>
      <c r="K16" s="40"/>
      <c r="L16" s="40"/>
      <c r="M16" s="40"/>
      <c r="N16" s="40"/>
      <c r="O16" s="40"/>
      <c r="P16" s="40"/>
      <c r="Q16" s="66" t="s">
        <v>91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1">
      <c r="A17" s="4"/>
    </row>
  </sheetData>
  <mergeCells count="14">
    <mergeCell ref="C6:C7"/>
    <mergeCell ref="D6:D7"/>
    <mergeCell ref="M4:P4"/>
    <mergeCell ref="A1:Q1"/>
    <mergeCell ref="Q4:Q5"/>
    <mergeCell ref="A4:A5"/>
    <mergeCell ref="B4:B5"/>
    <mergeCell ref="F4:F5"/>
    <mergeCell ref="C4:C5"/>
    <mergeCell ref="D4:D5"/>
    <mergeCell ref="E4:E5"/>
    <mergeCell ref="G4:G5"/>
    <mergeCell ref="H4:H5"/>
    <mergeCell ref="I4:L4"/>
  </mergeCells>
  <phoneticPr fontId="3" type="noConversion"/>
  <pageMargins left="0.75" right="0.75" top="1" bottom="1" header="0.5" footer="0.5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1день</vt:lpstr>
      <vt:lpstr>2 день</vt:lpstr>
      <vt:lpstr>3 день </vt:lpstr>
      <vt:lpstr>4 день  </vt:lpstr>
      <vt:lpstr>5 день</vt:lpstr>
      <vt:lpstr>6 день </vt:lpstr>
      <vt:lpstr>7 день</vt:lpstr>
      <vt:lpstr>8 день </vt:lpstr>
      <vt:lpstr>9 день </vt:lpstr>
      <vt:lpstr>10 день </vt:lpstr>
      <vt:lpstr>среднесуточный</vt:lpstr>
      <vt:lpstr>хим состав</vt:lpstr>
      <vt:lpstr>1</vt:lpstr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ХЗ</dc:creator>
  <cp:lastModifiedBy>Ольга</cp:lastModifiedBy>
  <cp:lastPrinted>2024-11-21T10:50:56Z</cp:lastPrinted>
  <dcterms:created xsi:type="dcterms:W3CDTF">2018-09-20T08:11:13Z</dcterms:created>
  <dcterms:modified xsi:type="dcterms:W3CDTF">2024-11-21T10:50:58Z</dcterms:modified>
</cp:coreProperties>
</file>