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 tabRatio="923" activeTab="12"/>
  </bookViews>
  <sheets>
    <sheet name="1день" sheetId="1" r:id="rId1"/>
    <sheet name="2 день" sheetId="10" r:id="rId2"/>
    <sheet name="3 день " sheetId="11" r:id="rId3"/>
    <sheet name="4 день  " sheetId="12" r:id="rId4"/>
    <sheet name="5 день" sheetId="13" r:id="rId5"/>
    <sheet name="6 день " sheetId="16" r:id="rId6"/>
    <sheet name="7 день" sheetId="15" r:id="rId7"/>
    <sheet name="8 день " sheetId="14" r:id="rId8"/>
    <sheet name="9 день " sheetId="17" r:id="rId9"/>
    <sheet name="10 день " sheetId="18" r:id="rId10"/>
    <sheet name="среднесуточный" sheetId="21" r:id="rId11"/>
    <sheet name="хим состав" sheetId="22" r:id="rId12"/>
    <sheet name="Лист1" sheetId="2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2" i="21"/>
  <c r="AD62" s="1"/>
  <c r="AC59"/>
  <c r="AD59" s="1"/>
  <c r="AD5"/>
  <c r="AC5"/>
  <c r="P10" i="18"/>
  <c r="O10"/>
  <c r="N10"/>
  <c r="M10"/>
  <c r="L10"/>
  <c r="K10"/>
  <c r="J10"/>
  <c r="I10"/>
  <c r="H10"/>
  <c r="G10"/>
  <c r="F10"/>
  <c r="E10"/>
  <c r="P9"/>
  <c r="O9"/>
  <c r="N9"/>
  <c r="M9"/>
  <c r="L9"/>
  <c r="K9"/>
  <c r="J9"/>
  <c r="I9"/>
  <c r="H9"/>
  <c r="G9"/>
  <c r="F9"/>
  <c r="E9"/>
  <c r="P7"/>
  <c r="O7"/>
  <c r="N7"/>
  <c r="M7"/>
  <c r="L7"/>
  <c r="K7"/>
  <c r="J7"/>
  <c r="I7"/>
  <c r="H7"/>
  <c r="G7"/>
  <c r="F7"/>
  <c r="E7"/>
  <c r="P6"/>
  <c r="O6"/>
  <c r="N6"/>
  <c r="M6"/>
  <c r="L6"/>
  <c r="K6"/>
  <c r="J6"/>
  <c r="I6"/>
  <c r="H6"/>
  <c r="G6"/>
  <c r="F6"/>
  <c r="E6"/>
  <c r="V56" i="21"/>
  <c r="U56"/>
  <c r="V50"/>
  <c r="U50"/>
  <c r="V5"/>
  <c r="U5"/>
  <c r="P9" i="16"/>
  <c r="O9"/>
  <c r="M9"/>
  <c r="L9"/>
  <c r="K9"/>
  <c r="J9"/>
  <c r="I9"/>
  <c r="H9"/>
  <c r="G9"/>
  <c r="F9"/>
  <c r="E9"/>
  <c r="P8"/>
  <c r="O8"/>
  <c r="N8"/>
  <c r="M8"/>
  <c r="L8"/>
  <c r="K8"/>
  <c r="J8"/>
  <c r="I8"/>
  <c r="H8"/>
  <c r="G8"/>
  <c r="F8"/>
  <c r="E8"/>
  <c r="P6"/>
  <c r="O6"/>
  <c r="N6"/>
  <c r="M6"/>
  <c r="L6"/>
  <c r="K6"/>
  <c r="J6"/>
  <c r="I6"/>
  <c r="H6"/>
  <c r="G6"/>
  <c r="F6"/>
  <c r="E6"/>
  <c r="X63" i="21"/>
  <c r="W63"/>
  <c r="W51"/>
  <c r="X51" s="1"/>
  <c r="W67" l="1"/>
  <c r="X6"/>
  <c r="W6"/>
  <c r="X20"/>
  <c r="W20"/>
  <c r="X19"/>
  <c r="W19"/>
  <c r="X57"/>
  <c r="W57"/>
  <c r="X26"/>
  <c r="W26"/>
  <c r="X44"/>
  <c r="W44"/>
  <c r="P6" i="15"/>
  <c r="O6"/>
  <c r="N6"/>
  <c r="M6"/>
  <c r="L6"/>
  <c r="K6"/>
  <c r="J6"/>
  <c r="I6"/>
  <c r="G6"/>
  <c r="F6"/>
  <c r="E6"/>
  <c r="P9"/>
  <c r="O9"/>
  <c r="N9"/>
  <c r="M9"/>
  <c r="L9"/>
  <c r="K9"/>
  <c r="J9"/>
  <c r="I9"/>
  <c r="H9"/>
  <c r="G9"/>
  <c r="F9"/>
  <c r="E9"/>
  <c r="H6"/>
  <c r="X67" i="21" l="1"/>
  <c r="X56"/>
  <c r="W56"/>
  <c r="X49"/>
  <c r="W49"/>
  <c r="X17"/>
  <c r="W17"/>
  <c r="P7" i="15"/>
  <c r="O7"/>
  <c r="N7"/>
  <c r="M7"/>
  <c r="L7"/>
  <c r="K7"/>
  <c r="J7"/>
  <c r="I7"/>
  <c r="H7"/>
  <c r="G7"/>
  <c r="F7"/>
  <c r="E7"/>
  <c r="Z52" i="21" l="1"/>
  <c r="Y52"/>
  <c r="P9" i="14"/>
  <c r="O9"/>
  <c r="N9"/>
  <c r="M9"/>
  <c r="L9"/>
  <c r="K9"/>
  <c r="J9"/>
  <c r="I9"/>
  <c r="H9"/>
  <c r="G9"/>
  <c r="F9"/>
  <c r="E9"/>
  <c r="Z5" i="21" l="1"/>
  <c r="Y5"/>
  <c r="P8" i="14"/>
  <c r="O8"/>
  <c r="N8"/>
  <c r="M8"/>
  <c r="L8"/>
  <c r="K8"/>
  <c r="J8"/>
  <c r="I8"/>
  <c r="H8"/>
  <c r="G8"/>
  <c r="F8"/>
  <c r="E8"/>
  <c r="P6"/>
  <c r="O6"/>
  <c r="N6"/>
  <c r="M6"/>
  <c r="L6"/>
  <c r="K6"/>
  <c r="J6"/>
  <c r="I6"/>
  <c r="H6"/>
  <c r="G6"/>
  <c r="F6"/>
  <c r="E6"/>
  <c r="Z56" i="21"/>
  <c r="Y56"/>
  <c r="T62"/>
  <c r="S62"/>
  <c r="S59"/>
  <c r="T59" s="1"/>
  <c r="T67"/>
  <c r="S67"/>
  <c r="T56"/>
  <c r="S56"/>
  <c r="T49"/>
  <c r="S49"/>
  <c r="T10"/>
  <c r="S10"/>
  <c r="P7" i="13"/>
  <c r="O7"/>
  <c r="N7"/>
  <c r="M7"/>
  <c r="L7"/>
  <c r="K7"/>
  <c r="J7"/>
  <c r="I7"/>
  <c r="H7"/>
  <c r="G7"/>
  <c r="F7"/>
  <c r="E7"/>
  <c r="P9" l="1"/>
  <c r="O9"/>
  <c r="N9"/>
  <c r="M9"/>
  <c r="L9"/>
  <c r="K9"/>
  <c r="J9"/>
  <c r="I9"/>
  <c r="H9"/>
  <c r="G9"/>
  <c r="F9"/>
  <c r="E9"/>
  <c r="T5" i="21"/>
  <c r="S5"/>
  <c r="P6" i="13"/>
  <c r="O6"/>
  <c r="N6"/>
  <c r="M6"/>
  <c r="L6"/>
  <c r="K6"/>
  <c r="J6"/>
  <c r="I6"/>
  <c r="H6"/>
  <c r="G6"/>
  <c r="F6"/>
  <c r="E6"/>
  <c r="R37" i="21"/>
  <c r="Q37"/>
  <c r="P10" i="12"/>
  <c r="O10"/>
  <c r="N10"/>
  <c r="M10"/>
  <c r="L10"/>
  <c r="K10"/>
  <c r="J10"/>
  <c r="I10"/>
  <c r="H10"/>
  <c r="G10"/>
  <c r="F10"/>
  <c r="E10"/>
  <c r="P63" i="21" l="1"/>
  <c r="O63"/>
  <c r="P51"/>
  <c r="O51"/>
  <c r="P10" i="11"/>
  <c r="O10"/>
  <c r="N10"/>
  <c r="M10"/>
  <c r="L10"/>
  <c r="K10"/>
  <c r="J10"/>
  <c r="I10"/>
  <c r="H10"/>
  <c r="G10"/>
  <c r="F10"/>
  <c r="E10"/>
  <c r="N59" i="21" l="1"/>
  <c r="M59"/>
  <c r="N62"/>
  <c r="M62"/>
  <c r="P9" i="10"/>
  <c r="O9"/>
  <c r="N9"/>
  <c r="M9"/>
  <c r="L9"/>
  <c r="K9"/>
  <c r="J9"/>
  <c r="I9"/>
  <c r="H9"/>
  <c r="G9"/>
  <c r="F9"/>
  <c r="E9"/>
  <c r="L67" i="21"/>
  <c r="L56"/>
  <c r="K56"/>
  <c r="L49"/>
  <c r="K49"/>
  <c r="L15"/>
  <c r="K15"/>
  <c r="P6" i="1"/>
  <c r="O6"/>
  <c r="N6"/>
  <c r="M6"/>
  <c r="L6"/>
  <c r="K6"/>
  <c r="J6"/>
  <c r="I6"/>
  <c r="H6"/>
  <c r="G6"/>
  <c r="F6"/>
  <c r="E6"/>
  <c r="K67" i="21" l="1"/>
  <c r="L57"/>
  <c r="K57"/>
  <c r="L5"/>
  <c r="K5"/>
  <c r="L58"/>
  <c r="K58"/>
  <c r="L20"/>
  <c r="K20"/>
  <c r="L19"/>
  <c r="K19"/>
  <c r="L47"/>
  <c r="K47"/>
  <c r="P7" i="1"/>
  <c r="O7"/>
  <c r="N7"/>
  <c r="M7"/>
  <c r="L7"/>
  <c r="K7"/>
  <c r="J7"/>
  <c r="I7"/>
  <c r="H7"/>
  <c r="G7"/>
  <c r="F7"/>
  <c r="E7"/>
  <c r="H13" i="21" l="1"/>
  <c r="R28" l="1"/>
  <c r="Q28"/>
  <c r="P6" i="12"/>
  <c r="O6"/>
  <c r="N6"/>
  <c r="M6"/>
  <c r="L6"/>
  <c r="K6"/>
  <c r="J6"/>
  <c r="I6"/>
  <c r="H6"/>
  <c r="G6"/>
  <c r="F6"/>
  <c r="E6"/>
  <c r="AD67" i="21" l="1"/>
  <c r="AC67"/>
  <c r="AD56"/>
  <c r="AC56"/>
  <c r="AD49"/>
  <c r="AC49"/>
  <c r="AD17"/>
  <c r="AC17"/>
  <c r="AD20" l="1"/>
  <c r="AC20"/>
  <c r="AC46"/>
  <c r="AD46"/>
  <c r="AB67" l="1"/>
  <c r="AA67"/>
  <c r="AB56"/>
  <c r="AA56"/>
  <c r="AB20"/>
  <c r="AA20"/>
  <c r="AB19"/>
  <c r="AA19"/>
  <c r="AB15"/>
  <c r="AA15"/>
  <c r="P8" i="17"/>
  <c r="O8"/>
  <c r="N8"/>
  <c r="M8"/>
  <c r="L8"/>
  <c r="K8"/>
  <c r="J8"/>
  <c r="I8"/>
  <c r="H8"/>
  <c r="G8"/>
  <c r="F8"/>
  <c r="E8"/>
  <c r="AB5" i="21" l="1"/>
  <c r="AA5"/>
  <c r="AB44"/>
  <c r="AA44"/>
  <c r="P7" i="17"/>
  <c r="O7"/>
  <c r="N7"/>
  <c r="M7"/>
  <c r="L7"/>
  <c r="K7"/>
  <c r="J7"/>
  <c r="I7"/>
  <c r="H7"/>
  <c r="G7"/>
  <c r="F7"/>
  <c r="E7"/>
  <c r="AB22" i="21" l="1"/>
  <c r="AA22"/>
  <c r="P6" i="17" l="1"/>
  <c r="O6"/>
  <c r="N6"/>
  <c r="M6"/>
  <c r="L6"/>
  <c r="K6"/>
  <c r="J6"/>
  <c r="I6"/>
  <c r="H6"/>
  <c r="G6"/>
  <c r="F6"/>
  <c r="E6"/>
  <c r="E10"/>
  <c r="F10"/>
  <c r="G10"/>
  <c r="H10"/>
  <c r="I10"/>
  <c r="J10"/>
  <c r="K10"/>
  <c r="L10"/>
  <c r="M10"/>
  <c r="N10"/>
  <c r="O10"/>
  <c r="P10"/>
  <c r="P6" i="11" l="1"/>
  <c r="O6"/>
  <c r="N6"/>
  <c r="M6"/>
  <c r="L6"/>
  <c r="K6"/>
  <c r="J6"/>
  <c r="I6"/>
  <c r="H6"/>
  <c r="G6"/>
  <c r="F6"/>
  <c r="E6"/>
  <c r="P22" i="21"/>
  <c r="O22"/>
  <c r="P57"/>
  <c r="O57"/>
  <c r="AD37" l="1"/>
  <c r="AC37"/>
  <c r="AB63" l="1"/>
  <c r="AA63"/>
  <c r="AB51"/>
  <c r="AA51"/>
  <c r="V59" l="1"/>
  <c r="U59"/>
  <c r="V62"/>
  <c r="U62"/>
  <c r="V67" l="1"/>
  <c r="U67"/>
  <c r="V57"/>
  <c r="U57"/>
  <c r="V49"/>
  <c r="U49"/>
  <c r="V58"/>
  <c r="U58"/>
  <c r="D12" i="16" l="1"/>
  <c r="X5" i="21" l="1"/>
  <c r="W5"/>
  <c r="Z64" l="1"/>
  <c r="Y64"/>
  <c r="Z51"/>
  <c r="Y51"/>
  <c r="Z67" l="1"/>
  <c r="Y67"/>
  <c r="Z54"/>
  <c r="Y54"/>
  <c r="Z16"/>
  <c r="Y16"/>
  <c r="T6" l="1"/>
  <c r="S6"/>
  <c r="T57"/>
  <c r="S57"/>
  <c r="T54"/>
  <c r="S54"/>
  <c r="T46"/>
  <c r="S46"/>
  <c r="D12" i="13"/>
  <c r="R64" i="21" l="1"/>
  <c r="Q64"/>
  <c r="R51"/>
  <c r="Q51"/>
  <c r="R67" l="1"/>
  <c r="Q67"/>
  <c r="R57"/>
  <c r="Q57"/>
  <c r="R26"/>
  <c r="Q26"/>
  <c r="R20"/>
  <c r="Q20"/>
  <c r="R19"/>
  <c r="Q19"/>
  <c r="R15"/>
  <c r="Q15"/>
  <c r="R44"/>
  <c r="Q44"/>
  <c r="R5" l="1"/>
  <c r="Q5"/>
  <c r="P9" i="12"/>
  <c r="O9"/>
  <c r="N9"/>
  <c r="M9"/>
  <c r="L9"/>
  <c r="K9"/>
  <c r="J9"/>
  <c r="I9"/>
  <c r="H9"/>
  <c r="G9"/>
  <c r="F9"/>
  <c r="E9"/>
  <c r="P58" i="21" l="1"/>
  <c r="O58"/>
  <c r="P49"/>
  <c r="O49"/>
  <c r="P29"/>
  <c r="O29"/>
  <c r="P20"/>
  <c r="O20"/>
  <c r="P47"/>
  <c r="O47"/>
  <c r="P67" l="1"/>
  <c r="O67"/>
  <c r="P5" l="1"/>
  <c r="O5"/>
  <c r="N37"/>
  <c r="M37"/>
  <c r="N5" l="1"/>
  <c r="M5"/>
  <c r="N51"/>
  <c r="M51"/>
  <c r="N68"/>
  <c r="M68"/>
  <c r="N67"/>
  <c r="M67"/>
  <c r="N57"/>
  <c r="M57"/>
  <c r="N58"/>
  <c r="M58"/>
  <c r="N55"/>
  <c r="M55"/>
  <c r="N11"/>
  <c r="M11"/>
  <c r="N49"/>
  <c r="M49"/>
  <c r="N53"/>
  <c r="M53"/>
  <c r="L59" l="1"/>
  <c r="K59"/>
  <c r="L64" l="1"/>
  <c r="K64"/>
  <c r="L51"/>
  <c r="K51"/>
  <c r="P9" i="1"/>
  <c r="O9"/>
  <c r="N9"/>
  <c r="M9"/>
  <c r="L9"/>
  <c r="K9"/>
  <c r="J9"/>
  <c r="I9"/>
  <c r="H9"/>
  <c r="G9"/>
  <c r="F9"/>
  <c r="E9"/>
  <c r="J68" i="21" l="1"/>
  <c r="F68" s="1"/>
  <c r="H68" s="1"/>
  <c r="I68"/>
  <c r="E68" s="1"/>
  <c r="D68"/>
  <c r="J67"/>
  <c r="F67" s="1"/>
  <c r="H67" s="1"/>
  <c r="I67"/>
  <c r="E67" s="1"/>
  <c r="D67"/>
  <c r="J66"/>
  <c r="F66" s="1"/>
  <c r="H66" s="1"/>
  <c r="I66"/>
  <c r="E66" s="1"/>
  <c r="D66"/>
  <c r="J65"/>
  <c r="F65" s="1"/>
  <c r="H65" s="1"/>
  <c r="I65"/>
  <c r="E65" s="1"/>
  <c r="D65"/>
  <c r="J64"/>
  <c r="F64" s="1"/>
  <c r="I64"/>
  <c r="E64" s="1"/>
  <c r="H64" s="1"/>
  <c r="D64"/>
  <c r="J63"/>
  <c r="F63" s="1"/>
  <c r="I63"/>
  <c r="E63" s="1"/>
  <c r="H63" s="1"/>
  <c r="D63"/>
  <c r="J62"/>
  <c r="F62" s="1"/>
  <c r="I62"/>
  <c r="E62" s="1"/>
  <c r="H62" s="1"/>
  <c r="D62"/>
  <c r="J61"/>
  <c r="F61" s="1"/>
  <c r="I61"/>
  <c r="E61" s="1"/>
  <c r="H61" s="1"/>
  <c r="AD60"/>
  <c r="AC60"/>
  <c r="AB60"/>
  <c r="AA60"/>
  <c r="V60"/>
  <c r="U60"/>
  <c r="X60"/>
  <c r="W60"/>
  <c r="Z60"/>
  <c r="Y60"/>
  <c r="T60"/>
  <c r="S60"/>
  <c r="R60"/>
  <c r="Q60"/>
  <c r="P60"/>
  <c r="O60"/>
  <c r="N60"/>
  <c r="M60"/>
  <c r="L60"/>
  <c r="K60"/>
  <c r="D60"/>
  <c r="J59"/>
  <c r="F59" s="1"/>
  <c r="I59"/>
  <c r="E59" s="1"/>
  <c r="H59" s="1"/>
  <c r="D59"/>
  <c r="J58"/>
  <c r="F58" s="1"/>
  <c r="I58"/>
  <c r="E58" s="1"/>
  <c r="H58" s="1"/>
  <c r="D58"/>
  <c r="J57"/>
  <c r="F57" s="1"/>
  <c r="I57"/>
  <c r="E57" s="1"/>
  <c r="H57" s="1"/>
  <c r="D57"/>
  <c r="J56"/>
  <c r="F56" s="1"/>
  <c r="I56"/>
  <c r="E56" s="1"/>
  <c r="H56" s="1"/>
  <c r="D56"/>
  <c r="J55"/>
  <c r="F55" s="1"/>
  <c r="I55"/>
  <c r="E55" s="1"/>
  <c r="H55" s="1"/>
  <c r="D55"/>
  <c r="J54"/>
  <c r="F54" s="1"/>
  <c r="I54"/>
  <c r="E54" s="1"/>
  <c r="H54" s="1"/>
  <c r="D54"/>
  <c r="J53"/>
  <c r="F53" s="1"/>
  <c r="I53"/>
  <c r="E53" s="1"/>
  <c r="H53" s="1"/>
  <c r="D53"/>
  <c r="J52"/>
  <c r="F52" s="1"/>
  <c r="I52"/>
  <c r="E52" s="1"/>
  <c r="H52" s="1"/>
  <c r="D52"/>
  <c r="J51"/>
  <c r="F51" s="1"/>
  <c r="I51"/>
  <c r="E51" s="1"/>
  <c r="H51" s="1"/>
  <c r="J50"/>
  <c r="F50" s="1"/>
  <c r="I50"/>
  <c r="E50" s="1"/>
  <c r="H50" s="1"/>
  <c r="J49"/>
  <c r="F49" s="1"/>
  <c r="I49"/>
  <c r="E49" s="1"/>
  <c r="H49" s="1"/>
  <c r="AD48"/>
  <c r="AC48"/>
  <c r="AB48"/>
  <c r="AA48"/>
  <c r="V48"/>
  <c r="U48"/>
  <c r="X48"/>
  <c r="W48"/>
  <c r="Z48"/>
  <c r="Y48"/>
  <c r="T48"/>
  <c r="S48"/>
  <c r="R48"/>
  <c r="Q48"/>
  <c r="P48"/>
  <c r="O48"/>
  <c r="N48"/>
  <c r="M48"/>
  <c r="L48"/>
  <c r="K48"/>
  <c r="D48"/>
  <c r="J47"/>
  <c r="F47" s="1"/>
  <c r="I47"/>
  <c r="E47" s="1"/>
  <c r="H47" s="1"/>
  <c r="D47"/>
  <c r="J46"/>
  <c r="F46" s="1"/>
  <c r="I46"/>
  <c r="E46" s="1"/>
  <c r="H46" s="1"/>
  <c r="D46"/>
  <c r="J45"/>
  <c r="F45" s="1"/>
  <c r="I45"/>
  <c r="E45" s="1"/>
  <c r="H45" s="1"/>
  <c r="D45"/>
  <c r="J44"/>
  <c r="F44" s="1"/>
  <c r="I44"/>
  <c r="E44" s="1"/>
  <c r="H44" s="1"/>
  <c r="D44"/>
  <c r="J43"/>
  <c r="F43" s="1"/>
  <c r="I43"/>
  <c r="E43" s="1"/>
  <c r="H43" s="1"/>
  <c r="D43"/>
  <c r="J42"/>
  <c r="F42" s="1"/>
  <c r="I42"/>
  <c r="E42" s="1"/>
  <c r="H42" s="1"/>
  <c r="J41"/>
  <c r="F41" s="1"/>
  <c r="I41"/>
  <c r="E41" s="1"/>
  <c r="H41" s="1"/>
  <c r="J40"/>
  <c r="F40" s="1"/>
  <c r="I40"/>
  <c r="E40" s="1"/>
  <c r="H40" s="1"/>
  <c r="J39"/>
  <c r="I39"/>
  <c r="E39" s="1"/>
  <c r="H39" s="1"/>
  <c r="F39"/>
  <c r="AD38"/>
  <c r="AC38"/>
  <c r="AB38"/>
  <c r="AA38"/>
  <c r="V38"/>
  <c r="U38"/>
  <c r="X38"/>
  <c r="W38"/>
  <c r="Z38"/>
  <c r="Y38"/>
  <c r="T38"/>
  <c r="S38"/>
  <c r="R38"/>
  <c r="Q38"/>
  <c r="P38"/>
  <c r="O38"/>
  <c r="N38"/>
  <c r="M38"/>
  <c r="L38"/>
  <c r="K38"/>
  <c r="D38"/>
  <c r="J37"/>
  <c r="F37" s="1"/>
  <c r="I37"/>
  <c r="E37" s="1"/>
  <c r="H37" s="1"/>
  <c r="J36"/>
  <c r="F36" s="1"/>
  <c r="I36"/>
  <c r="E36" s="1"/>
  <c r="H36" s="1"/>
  <c r="J35"/>
  <c r="F35" s="1"/>
  <c r="I35"/>
  <c r="E35" s="1"/>
  <c r="H35" s="1"/>
  <c r="J34"/>
  <c r="F34" s="1"/>
  <c r="I34"/>
  <c r="E34" s="1"/>
  <c r="H34" s="1"/>
  <c r="J33"/>
  <c r="F33" s="1"/>
  <c r="I33"/>
  <c r="E33" s="1"/>
  <c r="H33" s="1"/>
  <c r="J32"/>
  <c r="F32" s="1"/>
  <c r="I32"/>
  <c r="E32" s="1"/>
  <c r="H32" s="1"/>
  <c r="J31"/>
  <c r="F31" s="1"/>
  <c r="I31"/>
  <c r="E31" s="1"/>
  <c r="H31" s="1"/>
  <c r="AD30"/>
  <c r="AC30"/>
  <c r="AB30"/>
  <c r="AA30"/>
  <c r="V30"/>
  <c r="U30"/>
  <c r="X30"/>
  <c r="W30"/>
  <c r="Z30"/>
  <c r="Y30"/>
  <c r="T30"/>
  <c r="S30"/>
  <c r="R30"/>
  <c r="Q30"/>
  <c r="P30"/>
  <c r="O30"/>
  <c r="N30"/>
  <c r="M30"/>
  <c r="L30"/>
  <c r="K30"/>
  <c r="D30"/>
  <c r="J29"/>
  <c r="F29" s="1"/>
  <c r="I29"/>
  <c r="E29" s="1"/>
  <c r="H29" s="1"/>
  <c r="J28"/>
  <c r="F28" s="1"/>
  <c r="I28"/>
  <c r="E28" s="1"/>
  <c r="H28" s="1"/>
  <c r="J27"/>
  <c r="F27" s="1"/>
  <c r="I27"/>
  <c r="E27" s="1"/>
  <c r="H27" s="1"/>
  <c r="J26"/>
  <c r="F26" s="1"/>
  <c r="I26"/>
  <c r="E26" s="1"/>
  <c r="H26" s="1"/>
  <c r="J25"/>
  <c r="F25" s="1"/>
  <c r="I25"/>
  <c r="E25" s="1"/>
  <c r="H25" s="1"/>
  <c r="J24"/>
  <c r="F24" s="1"/>
  <c r="I24"/>
  <c r="E24" s="1"/>
  <c r="H24" s="1"/>
  <c r="J23"/>
  <c r="F23" s="1"/>
  <c r="I23"/>
  <c r="E23" s="1"/>
  <c r="H23" s="1"/>
  <c r="J22"/>
  <c r="F22" s="1"/>
  <c r="I22"/>
  <c r="E22" s="1"/>
  <c r="H22" s="1"/>
  <c r="J21"/>
  <c r="F21" s="1"/>
  <c r="I21"/>
  <c r="E21" s="1"/>
  <c r="H21" s="1"/>
  <c r="J20"/>
  <c r="F20" s="1"/>
  <c r="I20"/>
  <c r="E20" s="1"/>
  <c r="H20" s="1"/>
  <c r="J19"/>
  <c r="F19" s="1"/>
  <c r="I19"/>
  <c r="E19" s="1"/>
  <c r="H19" s="1"/>
  <c r="AD18"/>
  <c r="AC18"/>
  <c r="AB18"/>
  <c r="AA18"/>
  <c r="V18"/>
  <c r="U18"/>
  <c r="X18"/>
  <c r="W18"/>
  <c r="Z18"/>
  <c r="Y18"/>
  <c r="T18"/>
  <c r="S18"/>
  <c r="R18"/>
  <c r="Q18"/>
  <c r="P18"/>
  <c r="O18"/>
  <c r="N18"/>
  <c r="M18"/>
  <c r="L18"/>
  <c r="K18"/>
  <c r="D18"/>
  <c r="J17"/>
  <c r="F17" s="1"/>
  <c r="I17"/>
  <c r="E17" s="1"/>
  <c r="H17" s="1"/>
  <c r="D17"/>
  <c r="J16"/>
  <c r="I16"/>
  <c r="E16" s="1"/>
  <c r="H16" s="1"/>
  <c r="F16"/>
  <c r="D16"/>
  <c r="J15"/>
  <c r="F15" s="1"/>
  <c r="I15"/>
  <c r="E15" s="1"/>
  <c r="H15" s="1"/>
  <c r="J14"/>
  <c r="F14" s="1"/>
  <c r="I14"/>
  <c r="E14" s="1"/>
  <c r="H14" s="1"/>
  <c r="J13"/>
  <c r="F13" s="1"/>
  <c r="I13"/>
  <c r="E13" s="1"/>
  <c r="J12"/>
  <c r="F12" s="1"/>
  <c r="I12"/>
  <c r="E12" s="1"/>
  <c r="H12" s="1"/>
  <c r="J11"/>
  <c r="F11" s="1"/>
  <c r="I11"/>
  <c r="E11" s="1"/>
  <c r="H11" s="1"/>
  <c r="J10"/>
  <c r="F10" s="1"/>
  <c r="I10"/>
  <c r="E10" s="1"/>
  <c r="H10" s="1"/>
  <c r="J9"/>
  <c r="F9" s="1"/>
  <c r="I9"/>
  <c r="E9" s="1"/>
  <c r="H9" s="1"/>
  <c r="J8"/>
  <c r="F8" s="1"/>
  <c r="H8" s="1"/>
  <c r="I8"/>
  <c r="E8" s="1"/>
  <c r="AD7"/>
  <c r="AC7"/>
  <c r="AB7"/>
  <c r="AA7"/>
  <c r="V7"/>
  <c r="U7"/>
  <c r="X7"/>
  <c r="W7"/>
  <c r="Z7"/>
  <c r="Y7"/>
  <c r="T7"/>
  <c r="S7"/>
  <c r="R7"/>
  <c r="Q7"/>
  <c r="P7"/>
  <c r="O7"/>
  <c r="N7"/>
  <c r="M7"/>
  <c r="L7"/>
  <c r="K7"/>
  <c r="D7"/>
  <c r="J6"/>
  <c r="F6" s="1"/>
  <c r="I6"/>
  <c r="E6" s="1"/>
  <c r="H6" s="1"/>
  <c r="D6"/>
  <c r="J5"/>
  <c r="F5" s="1"/>
  <c r="I5"/>
  <c r="E5" s="1"/>
  <c r="H5" s="1"/>
  <c r="D5"/>
  <c r="J4"/>
  <c r="F4" s="1"/>
  <c r="I4"/>
  <c r="E4" s="1"/>
  <c r="H4" s="1"/>
  <c r="D4"/>
  <c r="I38" l="1"/>
  <c r="E38" s="1"/>
  <c r="J38"/>
  <c r="F38" s="1"/>
  <c r="I18"/>
  <c r="E18" s="1"/>
  <c r="J7"/>
  <c r="F7" s="1"/>
  <c r="G7" s="1"/>
  <c r="J18"/>
  <c r="F18" s="1"/>
  <c r="G18" s="1"/>
  <c r="I60"/>
  <c r="E60" s="1"/>
  <c r="J60"/>
  <c r="F60" s="1"/>
  <c r="J48"/>
  <c r="F48" s="1"/>
  <c r="G48" s="1"/>
  <c r="I48"/>
  <c r="E48" s="1"/>
  <c r="I30"/>
  <c r="E30" s="1"/>
  <c r="J30"/>
  <c r="F30" s="1"/>
  <c r="G30" s="1"/>
  <c r="G65"/>
  <c r="I7"/>
  <c r="E7" s="1"/>
  <c r="G53"/>
  <c r="G4"/>
  <c r="G6"/>
  <c r="G17"/>
  <c r="G43"/>
  <c r="G58"/>
  <c r="G5"/>
  <c r="G16"/>
  <c r="G55"/>
  <c r="G64"/>
  <c r="G68"/>
  <c r="G66"/>
  <c r="G63"/>
  <c r="G62"/>
  <c r="G60"/>
  <c r="G59"/>
  <c r="G57"/>
  <c r="G56"/>
  <c r="G54"/>
  <c r="G52"/>
  <c r="G47"/>
  <c r="G46"/>
  <c r="G45"/>
  <c r="G44"/>
  <c r="G38"/>
  <c r="G67"/>
  <c r="H69"/>
  <c r="D13" i="18"/>
  <c r="P7" i="11" l="1"/>
  <c r="O7"/>
  <c r="N7"/>
  <c r="M7"/>
  <c r="L7"/>
  <c r="K7"/>
  <c r="J7"/>
  <c r="I7"/>
  <c r="H7"/>
  <c r="G7"/>
  <c r="F7"/>
  <c r="E7"/>
  <c r="P13" i="18" l="1"/>
  <c r="O13"/>
  <c r="N13"/>
  <c r="L13"/>
  <c r="K13"/>
  <c r="J13"/>
  <c r="I13"/>
  <c r="H13"/>
  <c r="G13"/>
  <c r="F13"/>
  <c r="E13"/>
  <c r="M13" l="1"/>
  <c r="P7" i="12"/>
  <c r="O7"/>
  <c r="N7"/>
  <c r="M7"/>
  <c r="L7"/>
  <c r="K7"/>
  <c r="J7"/>
  <c r="I7"/>
  <c r="H7"/>
  <c r="G7"/>
  <c r="F7"/>
  <c r="E7"/>
  <c r="P8" i="11"/>
  <c r="O8"/>
  <c r="N8"/>
  <c r="M8"/>
  <c r="L8"/>
  <c r="K8"/>
  <c r="J8"/>
  <c r="I8"/>
  <c r="H8"/>
  <c r="G8"/>
  <c r="F8"/>
  <c r="E8"/>
  <c r="P10" i="10"/>
  <c r="O10"/>
  <c r="N10"/>
  <c r="M10"/>
  <c r="L10"/>
  <c r="K10"/>
  <c r="J10"/>
  <c r="I10"/>
  <c r="H10"/>
  <c r="G10"/>
  <c r="F10"/>
  <c r="E10"/>
  <c r="P7"/>
  <c r="O7"/>
  <c r="N7"/>
  <c r="M7"/>
  <c r="L7"/>
  <c r="K7"/>
  <c r="J7"/>
  <c r="I7"/>
  <c r="H7"/>
  <c r="G7"/>
  <c r="F7"/>
  <c r="E7"/>
  <c r="P6"/>
  <c r="O6"/>
  <c r="N6"/>
  <c r="M6"/>
  <c r="L6"/>
  <c r="K6"/>
  <c r="J6"/>
  <c r="I6"/>
  <c r="H6"/>
  <c r="G6"/>
  <c r="F6"/>
  <c r="E6"/>
  <c r="D13" i="1" l="1"/>
  <c r="C4" i="22" s="1"/>
  <c r="P13" i="1"/>
  <c r="O4" i="22" s="1"/>
  <c r="O13" i="1"/>
  <c r="N4" i="22" s="1"/>
  <c r="N13" i="1"/>
  <c r="M4" i="22" s="1"/>
  <c r="M13" i="1"/>
  <c r="L4" i="22" s="1"/>
  <c r="L13" i="1"/>
  <c r="K4" i="22" s="1"/>
  <c r="K13" i="1"/>
  <c r="J4" i="22" s="1"/>
  <c r="J13" i="1"/>
  <c r="I4" i="22" s="1"/>
  <c r="I13" i="1"/>
  <c r="H4" i="22" s="1"/>
  <c r="H13" i="1"/>
  <c r="G4" i="22" s="1"/>
  <c r="G13" i="1"/>
  <c r="F4" i="22" s="1"/>
  <c r="F13" i="1"/>
  <c r="E4" i="22" s="1"/>
  <c r="E13" i="1"/>
  <c r="D4" i="22" s="1"/>
  <c r="C13" l="1"/>
  <c r="G13"/>
  <c r="N13"/>
  <c r="L13"/>
  <c r="J13"/>
  <c r="H13"/>
  <c r="F13"/>
  <c r="E13"/>
  <c r="D13"/>
  <c r="O13" l="1"/>
  <c r="M13"/>
  <c r="K13"/>
  <c r="I13"/>
  <c r="F15" i="18"/>
  <c r="H15"/>
  <c r="E15"/>
  <c r="G15"/>
  <c r="D12" i="17" l="1"/>
  <c r="C12" i="22" s="1"/>
  <c r="P12" i="17"/>
  <c r="O12"/>
  <c r="N12"/>
  <c r="M12"/>
  <c r="L12"/>
  <c r="K12"/>
  <c r="J12"/>
  <c r="I12"/>
  <c r="H12"/>
  <c r="G12" i="22" s="1"/>
  <c r="G12" i="17"/>
  <c r="F12" i="22" s="1"/>
  <c r="F12" i="17"/>
  <c r="E12" i="22" s="1"/>
  <c r="E12" i="17"/>
  <c r="D12" i="22" s="1"/>
  <c r="N12" l="1"/>
  <c r="L12"/>
  <c r="J12"/>
  <c r="H12"/>
  <c r="O12"/>
  <c r="M12"/>
  <c r="K12"/>
  <c r="I12"/>
  <c r="F14" i="17"/>
  <c r="H14"/>
  <c r="E14"/>
  <c r="G14"/>
  <c r="C9" i="22" l="1"/>
  <c r="P12" i="16"/>
  <c r="O12"/>
  <c r="N12"/>
  <c r="M12"/>
  <c r="L12"/>
  <c r="K12"/>
  <c r="J12"/>
  <c r="I12"/>
  <c r="H12"/>
  <c r="G9" i="22" s="1"/>
  <c r="G12" i="16"/>
  <c r="F9" i="22" s="1"/>
  <c r="F12" i="16"/>
  <c r="E9" i="22" s="1"/>
  <c r="E12" i="16"/>
  <c r="D9" i="22" s="1"/>
  <c r="N9" l="1"/>
  <c r="L9"/>
  <c r="J9"/>
  <c r="H9"/>
  <c r="O9"/>
  <c r="M9"/>
  <c r="K9"/>
  <c r="I9"/>
  <c r="E14" i="16"/>
  <c r="G14"/>
  <c r="F14"/>
  <c r="H14"/>
  <c r="D12" i="15" l="1"/>
  <c r="C10" i="22" s="1"/>
  <c r="P12" i="15"/>
  <c r="O10" i="22" s="1"/>
  <c r="O12" i="15"/>
  <c r="N10" i="22" s="1"/>
  <c r="N12" i="15"/>
  <c r="M10" i="22" s="1"/>
  <c r="M12" i="15"/>
  <c r="L10" i="22" s="1"/>
  <c r="L12" i="15"/>
  <c r="K10" i="22" s="1"/>
  <c r="K12" i="15"/>
  <c r="J10" i="22" s="1"/>
  <c r="J12" i="15"/>
  <c r="I10" i="22" s="1"/>
  <c r="I12" i="15"/>
  <c r="H10" i="22" s="1"/>
  <c r="H12" i="15"/>
  <c r="G10" i="22" s="1"/>
  <c r="G12" i="15"/>
  <c r="F10" i="22" s="1"/>
  <c r="F12" i="15"/>
  <c r="E10" i="22" s="1"/>
  <c r="E12" i="15"/>
  <c r="D10" i="22" s="1"/>
  <c r="F14" i="15" l="1"/>
  <c r="H14"/>
  <c r="E14"/>
  <c r="G14"/>
  <c r="D12" i="14" l="1"/>
  <c r="C11" i="22" s="1"/>
  <c r="O12" i="14"/>
  <c r="M12"/>
  <c r="K12"/>
  <c r="I12"/>
  <c r="G12"/>
  <c r="F11" i="22" s="1"/>
  <c r="E12" i="14"/>
  <c r="D11" i="22" s="1"/>
  <c r="P12" i="14"/>
  <c r="N12"/>
  <c r="L12"/>
  <c r="J12"/>
  <c r="H12"/>
  <c r="G11" i="22" s="1"/>
  <c r="F12" i="14"/>
  <c r="E11" i="22" s="1"/>
  <c r="N11" l="1"/>
  <c r="L11"/>
  <c r="J11"/>
  <c r="H11"/>
  <c r="O11"/>
  <c r="M11"/>
  <c r="K11"/>
  <c r="I11"/>
  <c r="F14" i="14"/>
  <c r="H14"/>
  <c r="E14"/>
  <c r="G14"/>
  <c r="C8" i="22" l="1"/>
  <c r="P12" i="13"/>
  <c r="O12"/>
  <c r="N12"/>
  <c r="M12"/>
  <c r="L12"/>
  <c r="K12"/>
  <c r="J12"/>
  <c r="I12"/>
  <c r="H12"/>
  <c r="G8" i="22" s="1"/>
  <c r="G12" i="13"/>
  <c r="F8" i="22" s="1"/>
  <c r="F12" i="13"/>
  <c r="E8" i="22" s="1"/>
  <c r="E12" i="13"/>
  <c r="D8" i="22" s="1"/>
  <c r="O8" l="1"/>
  <c r="M8"/>
  <c r="K8"/>
  <c r="I8"/>
  <c r="N8"/>
  <c r="L8"/>
  <c r="J8"/>
  <c r="H8"/>
  <c r="F14" i="13"/>
  <c r="H14"/>
  <c r="E14"/>
  <c r="G14"/>
  <c r="D12" i="12" l="1"/>
  <c r="C7" i="22" s="1"/>
  <c r="P12" i="12"/>
  <c r="O7" i="22" s="1"/>
  <c r="O12" i="12"/>
  <c r="N7" i="22" s="1"/>
  <c r="N12" i="12"/>
  <c r="M7" i="22" s="1"/>
  <c r="M12" i="12"/>
  <c r="L7" i="22" s="1"/>
  <c r="L12" i="12"/>
  <c r="K7" i="22" s="1"/>
  <c r="K12" i="12"/>
  <c r="J7" i="22" s="1"/>
  <c r="J12" i="12"/>
  <c r="I7" i="22" s="1"/>
  <c r="I12" i="12"/>
  <c r="H7" i="22" s="1"/>
  <c r="H12" i="12"/>
  <c r="G7" i="22" s="1"/>
  <c r="G12" i="12"/>
  <c r="F7" i="22" s="1"/>
  <c r="F12" i="12"/>
  <c r="E7" i="22" s="1"/>
  <c r="E12" i="12"/>
  <c r="D7" i="22" s="1"/>
  <c r="E14" i="12" l="1"/>
  <c r="G14"/>
  <c r="F14"/>
  <c r="H14"/>
  <c r="D12" i="11" l="1"/>
  <c r="C6" i="22" s="1"/>
  <c r="P12" i="11"/>
  <c r="O12"/>
  <c r="N12"/>
  <c r="M12"/>
  <c r="L12"/>
  <c r="K12"/>
  <c r="J12"/>
  <c r="I12"/>
  <c r="H12"/>
  <c r="G6" i="22" s="1"/>
  <c r="G12" i="11"/>
  <c r="F6" i="22" s="1"/>
  <c r="F12" i="11"/>
  <c r="E6" i="22" s="1"/>
  <c r="E12" i="11"/>
  <c r="D6" i="22" s="1"/>
  <c r="N6" l="1"/>
  <c r="L6"/>
  <c r="J6"/>
  <c r="H6"/>
  <c r="O6"/>
  <c r="M6"/>
  <c r="K6"/>
  <c r="I6"/>
  <c r="F14" i="11"/>
  <c r="H14"/>
  <c r="E14"/>
  <c r="G14"/>
  <c r="D12" i="10" l="1"/>
  <c r="C5" i="22" s="1"/>
  <c r="P12" i="10"/>
  <c r="O12"/>
  <c r="N12"/>
  <c r="M12"/>
  <c r="L12"/>
  <c r="K12"/>
  <c r="J12"/>
  <c r="I12"/>
  <c r="H12"/>
  <c r="G5" i="22" s="1"/>
  <c r="G12" i="10"/>
  <c r="F5" i="22" s="1"/>
  <c r="F12" i="10"/>
  <c r="E5" i="22" s="1"/>
  <c r="E12" i="10"/>
  <c r="D5" i="22" s="1"/>
  <c r="N5" l="1"/>
  <c r="L5"/>
  <c r="J5"/>
  <c r="H5"/>
  <c r="O5"/>
  <c r="M5"/>
  <c r="K5"/>
  <c r="I5"/>
  <c r="F14" i="10"/>
  <c r="H14"/>
  <c r="E14"/>
  <c r="G14"/>
  <c r="H15" i="1" l="1"/>
  <c r="G15"/>
  <c r="F15"/>
  <c r="E15"/>
  <c r="F14" i="22" l="1"/>
  <c r="F16" s="1"/>
  <c r="C14" l="1"/>
  <c r="C16" s="1"/>
  <c r="E14"/>
  <c r="E16" s="1"/>
  <c r="G14"/>
  <c r="G16" s="1"/>
  <c r="I14"/>
  <c r="I16" s="1"/>
  <c r="K14"/>
  <c r="K16" s="1"/>
  <c r="M14"/>
  <c r="M16" s="1"/>
  <c r="D14"/>
  <c r="D16" s="1"/>
  <c r="H14"/>
  <c r="H16" s="1"/>
  <c r="J14"/>
  <c r="J16" s="1"/>
  <c r="L14"/>
  <c r="L16" s="1"/>
  <c r="N14"/>
  <c r="N16" s="1"/>
  <c r="O14" l="1"/>
  <c r="O16" s="1"/>
</calcChain>
</file>

<file path=xl/sharedStrings.xml><?xml version="1.0" encoding="utf-8"?>
<sst xmlns="http://schemas.openxmlformats.org/spreadsheetml/2006/main" count="507" uniqueCount="182">
  <si>
    <t>Витамины</t>
  </si>
  <si>
    <t>В1</t>
  </si>
  <si>
    <t>С</t>
  </si>
  <si>
    <t>А</t>
  </si>
  <si>
    <t>Е</t>
  </si>
  <si>
    <t>Минеральные вещества</t>
  </si>
  <si>
    <t>Са</t>
  </si>
  <si>
    <t>Р</t>
  </si>
  <si>
    <t>Мg</t>
  </si>
  <si>
    <t>Fe</t>
  </si>
  <si>
    <t>1 день</t>
  </si>
  <si>
    <t>2 день</t>
  </si>
  <si>
    <t>Хлеб ржаной</t>
  </si>
  <si>
    <t>Хлеб пшеничный</t>
  </si>
  <si>
    <t>Мука пшеничная</t>
  </si>
  <si>
    <t>Крупа, бобовые</t>
  </si>
  <si>
    <t>геркулес</t>
  </si>
  <si>
    <t>горох</t>
  </si>
  <si>
    <t>крупа гречневая</t>
  </si>
  <si>
    <t>крупа манная</t>
  </si>
  <si>
    <t>крупа перловая</t>
  </si>
  <si>
    <t>крупа пшеничная</t>
  </si>
  <si>
    <t>пшено</t>
  </si>
  <si>
    <t>рис</t>
  </si>
  <si>
    <t>Макаронные изделия</t>
  </si>
  <si>
    <t>Картофель</t>
  </si>
  <si>
    <t>Овощи</t>
  </si>
  <si>
    <t>морковь</t>
  </si>
  <si>
    <t>лук</t>
  </si>
  <si>
    <t>свёкла</t>
  </si>
  <si>
    <t>томатный соус</t>
  </si>
  <si>
    <t>огурцы</t>
  </si>
  <si>
    <t>икра кабачковая</t>
  </si>
  <si>
    <t>зелень ( укроп, петрушка)</t>
  </si>
  <si>
    <t>Фрукты свежие</t>
  </si>
  <si>
    <t>Фрукты сухие</t>
  </si>
  <si>
    <t>Соки, напитки витамин.</t>
  </si>
  <si>
    <t>Мясо 1 кат.</t>
  </si>
  <si>
    <t>Субпродукты (печень, язык,сердце)</t>
  </si>
  <si>
    <t>Куры 1 кат. потрошеные</t>
  </si>
  <si>
    <t>Рыба- филе</t>
  </si>
  <si>
    <t>Молоко</t>
  </si>
  <si>
    <t>Кисломолочные продукты</t>
  </si>
  <si>
    <t>Творог</t>
  </si>
  <si>
    <t>Сыр</t>
  </si>
  <si>
    <t>Сметана</t>
  </si>
  <si>
    <t>Масло сливочное</t>
  </si>
  <si>
    <t>Масло растительное</t>
  </si>
  <si>
    <t>Яйцо (в штуках)</t>
  </si>
  <si>
    <t>Сахар</t>
  </si>
  <si>
    <t>Кондитерские изделия</t>
  </si>
  <si>
    <t>Чай</t>
  </si>
  <si>
    <t>Какао</t>
  </si>
  <si>
    <t>Кофейный напиток</t>
  </si>
  <si>
    <t xml:space="preserve">Дрожжи </t>
  </si>
  <si>
    <t xml:space="preserve">Крахмал </t>
  </si>
  <si>
    <t>Соль йодированная</t>
  </si>
  <si>
    <t>Специи</t>
  </si>
  <si>
    <t>3 день</t>
  </si>
  <si>
    <t>5 день</t>
  </si>
  <si>
    <t>7 день</t>
  </si>
  <si>
    <t>8 день</t>
  </si>
  <si>
    <t>9 день</t>
  </si>
  <si>
    <t>10 день</t>
  </si>
  <si>
    <t>Наименование продукта</t>
  </si>
  <si>
    <t xml:space="preserve">нормы (100%) согласно требован   иям СанПин  гр. </t>
  </si>
  <si>
    <t xml:space="preserve">итого </t>
  </si>
  <si>
    <t>Второй день</t>
  </si>
  <si>
    <t>Третий день</t>
  </si>
  <si>
    <t>Четветрый день</t>
  </si>
  <si>
    <t>Шестой день</t>
  </si>
  <si>
    <t>Седьмой день</t>
  </si>
  <si>
    <t>Восьмой день</t>
  </si>
  <si>
    <t>Девятый день</t>
  </si>
  <si>
    <t>Десятый день</t>
  </si>
  <si>
    <t>Первый день</t>
  </si>
  <si>
    <t>Пятый день</t>
  </si>
  <si>
    <t xml:space="preserve"> 4 день</t>
  </si>
  <si>
    <t>Чай с сахаром</t>
  </si>
  <si>
    <t>6 день</t>
  </si>
  <si>
    <t>Завтрак</t>
  </si>
  <si>
    <t xml:space="preserve">День </t>
  </si>
  <si>
    <t>Итог в среднем за завтрак</t>
  </si>
  <si>
    <t>Рекомендуемые диеты</t>
  </si>
  <si>
    <t>*- без соли</t>
  </si>
  <si>
    <t>**- без сахара</t>
  </si>
  <si>
    <t>ОВД, ЩД, ВБД, ВКД  (2,3,4б,4в,5,7,8**,10,11,15)</t>
  </si>
  <si>
    <t>ОВД, ЩД, ВБД, НБД, НКД, ВКД (1,3,4в,5,6,7,8,9,10,11,15)</t>
  </si>
  <si>
    <t>ОВД, ЩД, ВБД, НБД, НКД, ВКД  (2,3,4в,5,5р,7,8,9,10,11,15)</t>
  </si>
  <si>
    <t>Картофель отварной с маслом</t>
  </si>
  <si>
    <t>ОВД, ВБД, НБД*, НКД*, ВКД (1,2,3,4,5,6,7*,8*,10,11,15)</t>
  </si>
  <si>
    <t>ОВД, ЩД, ВБД, НКД*, ВКД (1,1б,2,3,4,4в,5,6,7*,8*9,10*,11,15)</t>
  </si>
  <si>
    <t>***- без кислоты лимонной</t>
  </si>
  <si>
    <t>Икра кабачковая ( промышленного производства)</t>
  </si>
  <si>
    <t>ОВД, ЩД, ВБД, НБД, НКД, ВКД (3а,3б,5,6,7а,7б,7,8,9,10,10А,10с,11,13,15)</t>
  </si>
  <si>
    <t>апельсин</t>
  </si>
  <si>
    <t>банан</t>
  </si>
  <si>
    <t>груша</t>
  </si>
  <si>
    <t>мандарин</t>
  </si>
  <si>
    <t>лимон</t>
  </si>
  <si>
    <t>яблоко</t>
  </si>
  <si>
    <t>изюм</t>
  </si>
  <si>
    <t>компотная смесь</t>
  </si>
  <si>
    <t>курага</t>
  </si>
  <si>
    <t>чернослив</t>
  </si>
  <si>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</si>
  <si>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</si>
  <si>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</si>
  <si>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</si>
  <si>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</si>
  <si>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</si>
  <si>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</si>
  <si>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</si>
  <si>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капуста квашеная</t>
  </si>
  <si>
    <t>капуста свежая</t>
  </si>
  <si>
    <t>суточная нома по СанПиН 2.3/2.4.3590-20</t>
  </si>
  <si>
    <t>фактичекое выполнение по меню</t>
  </si>
  <si>
    <t>Омлет натуральный</t>
  </si>
  <si>
    <t>Молоко витаминизированное</t>
  </si>
  <si>
    <t>Макаронные изделия отварные с сыром</t>
  </si>
  <si>
    <t>ОВД, ЩД, ВБД, ВКД (2,3,4в,5,6,7*,8*,9,10*,11,15)</t>
  </si>
  <si>
    <t>фактичекое выполнение по меню ( завтрак)</t>
  </si>
  <si>
    <t>зеленый горошек</t>
  </si>
  <si>
    <t>кукуруза консервированная</t>
  </si>
  <si>
    <t>Молоко сгущенное</t>
  </si>
  <si>
    <t xml:space="preserve">Меню завтраков для учащихся  5-11  кл. Уренского муниципального округа Нижегородской области </t>
  </si>
  <si>
    <t>Меню завтраков  для учащихся  5-11  кл. Уренского муниципального округа Нижегородской области</t>
  </si>
  <si>
    <t xml:space="preserve">Меню завтраков   для учащихся 5-11  кл. Уренского муниципального округа Нижегородской области </t>
  </si>
  <si>
    <t xml:space="preserve">Меню завтраков  для учащихся  5-11  кл. Уренского муниципального округа Нижегородской области </t>
  </si>
  <si>
    <t xml:space="preserve">Меню завтраков   для учащихся  5-11  кл Уренского муниципального округа Нижегородской области </t>
  </si>
  <si>
    <t xml:space="preserve">Меню завтраков  для учащихся 5-11  кл Уренского муниципального округа Нижегородской области </t>
  </si>
  <si>
    <t xml:space="preserve">Меню завтраков для учащихся  5-11  кл Уренского муниципального округа Нижегородской области </t>
  </si>
  <si>
    <t xml:space="preserve">Меню завтраков  для учащихся  5-11  кл Уренского муниципального округа Нижегородской области </t>
  </si>
  <si>
    <t>Таблица среднесуточного набора продуктов питания (завтраков  для учащихся  5-11  кл Уренского муниципального округа Нижегородской области )</t>
  </si>
  <si>
    <t xml:space="preserve">Свод по белкам, жирам, углеводам, витаминам и минеральным веществам, % от суточной нормы, выход блюд                                                                                                                                                                                                                                                                         Меню завтраков  для учащихся  5-11  кл Уренского муниципального округа Нижегородской области </t>
  </si>
  <si>
    <t>ОВД, ЩД, ВБД, НБД*, НКД*,ВКД, 2,8*,9,10*,15 ( запеченный),1,1а,1б,4,4б,4в,5,6,7*,8*,9,11,15 ( паровой)</t>
  </si>
  <si>
    <t>Кисломолочный напиток (йогурт)</t>
  </si>
  <si>
    <t>Шницель рыбный натуральный</t>
  </si>
  <si>
    <t>клюква</t>
  </si>
  <si>
    <t xml:space="preserve">итого за завтрак(неменее 550гр) </t>
  </si>
  <si>
    <t>Запеканка из творога с молоком сгущенным</t>
  </si>
  <si>
    <t>ОВД, ЩД, ВБД, НКД*, ВКД  (2,3,4в,5,6,7*,8**,9**,10*,11,15)</t>
  </si>
  <si>
    <t>ОВД, ЩД, ВБД, НБД, НКД, ВКД  (1,2,3а,3б,4в,5,6,7,11,15)</t>
  </si>
  <si>
    <t xml:space="preserve">итого за завтрак(не менее 550гр) </t>
  </si>
  <si>
    <t>Плов из говядины</t>
  </si>
  <si>
    <t>ОВД, ВБД,  ВКД (3,4в,6,7*,9,10*,11,15)</t>
  </si>
  <si>
    <t>Котлеты, рубленные из птицы с соусом</t>
  </si>
  <si>
    <t>ОВД, ЩД, ВБД, НКД*, ВКД (1,1б,2,3,4в,5,6,7*,8*,9,10*,11,15)</t>
  </si>
  <si>
    <t>Каша гречневая вязкая</t>
  </si>
  <si>
    <t>ОВД, ЩД, ВБД, НБД*,  НКД*, ВКД (3,4б,4в,5,5п,6,7*,8*,9,10*,11,15)</t>
  </si>
  <si>
    <t xml:space="preserve">нормы (20%) согласно требован   иям СанПин  гр. </t>
  </si>
  <si>
    <t>среднедневная норма г (завтрак , брутто)</t>
  </si>
  <si>
    <t>среднедневная норма г (завтрак , нетто)</t>
  </si>
  <si>
    <t>%  от  нормы ( завтрак)</t>
  </si>
  <si>
    <t>итого  завтрак и обед по брутто</t>
  </si>
  <si>
    <t>итого  завтрак и обед по нетто</t>
  </si>
  <si>
    <t>завтрак(брутто)</t>
  </si>
  <si>
    <t>завтрак(нетто)</t>
  </si>
  <si>
    <t>завтрак (нетто )</t>
  </si>
  <si>
    <t>завтрак(нетто(</t>
  </si>
  <si>
    <t>Кофейный напиток на сгущенном молоке</t>
  </si>
  <si>
    <t>ОВД, ЩД, ВБД, ВКД  (1,2,4б,4в, 10,11,15)</t>
  </si>
  <si>
    <t>Какао с молоком сгущенным</t>
  </si>
  <si>
    <t>ОВД, ЩД, ВБД, ВКД  (1,2,4б,4в,10,11,15)</t>
  </si>
  <si>
    <t>276-а</t>
  </si>
  <si>
    <t>ОВД, ВБД, НБД, НКД, ВКД (3а,3б,6,7а,7б,7,10,10с,11,15)</t>
  </si>
  <si>
    <t>повидло</t>
  </si>
  <si>
    <t>Овощи консервированные (порциями)( капуста квашеная)</t>
  </si>
  <si>
    <t>ОВД, ВБД, ВКД (11,15)</t>
  </si>
  <si>
    <t>Тефтели из говядины (паровые)</t>
  </si>
  <si>
    <t>Каша рассыпчатая с овощами</t>
  </si>
  <si>
    <t>ОВД, ЩД, ВБД, НБД*, НКД*, ВКД (1,2,3,4в,5,6,7*,8*,9,10*,11,15)</t>
  </si>
  <si>
    <t>ОВД, ВБД, НБД*,  НКД*, ВКД (6,7*,8*,9*,10*,11,15)</t>
  </si>
  <si>
    <t>Птица отварная</t>
  </si>
  <si>
    <t>Пюре картофельное</t>
  </si>
  <si>
    <t>ОВД, ЩД, ВБД, НКД*, ВКД (1,2,3,4в,4г,5,6,7*,8*,9,10*,11,15)</t>
  </si>
  <si>
    <t>ОВД, ЩД, ВБД, НБД*,  НКД*, ВКД (1,2,3,4б,4в,5,5п,5р,6,7*,8*,9,10*,11,15)</t>
  </si>
  <si>
    <r>
      <t xml:space="preserve">средняя стоимоть бюллетень цен </t>
    </r>
    <r>
      <rPr>
        <b/>
        <i/>
        <sz val="5.5"/>
        <color indexed="10"/>
        <rFont val="Times New Roman"/>
        <family val="1"/>
        <charset val="204"/>
      </rPr>
      <t>за ноябрь 2024</t>
    </r>
  </si>
  <si>
    <t>Котлеты рыбные любительские</t>
  </si>
  <si>
    <t>Каша рисовая вязкая</t>
  </si>
  <si>
    <t>ОВД, ЩД, ВБД, НБД*,  НКД*, ВКД (1,2,3,4в,5,6,7*,9,10*,11,15)</t>
  </si>
  <si>
    <t>Мясо тушеное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</si>
</sst>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11"/>
      <name val="Arial"/>
      <family val="2"/>
    </font>
    <font>
      <i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5.5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i/>
      <sz val="5.5"/>
      <color indexed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5" fillId="0" borderId="0"/>
    <xf numFmtId="0" fontId="1" fillId="0" borderId="0"/>
  </cellStyleXfs>
  <cellXfs count="258">
    <xf numFmtId="0" fontId="0" fillId="0" borderId="0" xfId="0"/>
    <xf numFmtId="0" fontId="2" fillId="0" borderId="0" xfId="0" applyFont="1"/>
    <xf numFmtId="2" fontId="7" fillId="0" borderId="15" xfId="0" applyNumberFormat="1" applyFont="1" applyBorder="1"/>
    <xf numFmtId="2" fontId="7" fillId="0" borderId="5" xfId="0" applyNumberFormat="1" applyFont="1" applyBorder="1"/>
    <xf numFmtId="2" fontId="7" fillId="0" borderId="15" xfId="0" applyNumberFormat="1" applyFont="1" applyBorder="1" applyAlignment="1">
      <alignment vertical="center"/>
    </xf>
    <xf numFmtId="2" fontId="7" fillId="0" borderId="16" xfId="0" applyNumberFormat="1" applyFont="1" applyBorder="1"/>
    <xf numFmtId="0" fontId="10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0" fontId="4" fillId="0" borderId="0" xfId="0" applyFont="1"/>
    <xf numFmtId="0" fontId="16" fillId="0" borderId="0" xfId="0" applyFont="1"/>
    <xf numFmtId="0" fontId="0" fillId="2" borderId="0" xfId="0" applyFill="1"/>
    <xf numFmtId="0" fontId="14" fillId="0" borderId="0" xfId="0" applyFont="1"/>
    <xf numFmtId="0" fontId="6" fillId="0" borderId="3" xfId="0" applyFont="1" applyBorder="1"/>
    <xf numFmtId="0" fontId="8" fillId="0" borderId="3" xfId="0" applyFont="1" applyBorder="1"/>
    <xf numFmtId="0" fontId="6" fillId="0" borderId="3" xfId="0" applyFont="1" applyBorder="1" applyAlignment="1">
      <alignment vertical="center" wrapText="1"/>
    </xf>
    <xf numFmtId="0" fontId="9" fillId="0" borderId="3" xfId="0" applyFont="1" applyBorder="1"/>
    <xf numFmtId="0" fontId="6" fillId="0" borderId="28" xfId="0" applyFont="1" applyBorder="1" applyAlignment="1">
      <alignment vertical="center" wrapText="1"/>
    </xf>
    <xf numFmtId="164" fontId="13" fillId="0" borderId="2" xfId="0" applyNumberFormat="1" applyFont="1" applyBorder="1" applyAlignment="1">
      <alignment vertical="center" wrapText="1"/>
    </xf>
    <xf numFmtId="0" fontId="14" fillId="0" borderId="2" xfId="0" applyFont="1" applyBorder="1" applyAlignment="1">
      <alignment vertical="top" wrapText="1"/>
    </xf>
    <xf numFmtId="2" fontId="14" fillId="2" borderId="12" xfId="0" applyNumberFormat="1" applyFont="1" applyFill="1" applyBorder="1" applyAlignment="1">
      <alignment vertical="top" wrapText="1"/>
    </xf>
    <xf numFmtId="2" fontId="14" fillId="0" borderId="12" xfId="0" applyNumberFormat="1" applyFont="1" applyBorder="1" applyAlignment="1">
      <alignment vertical="top" wrapText="1"/>
    </xf>
    <xf numFmtId="0" fontId="18" fillId="0" borderId="34" xfId="0" applyFont="1" applyBorder="1" applyAlignment="1">
      <alignment horizontal="center" vertical="center" wrapText="1"/>
    </xf>
    <xf numFmtId="164" fontId="6" fillId="0" borderId="26" xfId="0" applyNumberFormat="1" applyFont="1" applyBorder="1" applyAlignment="1">
      <alignment horizontal="center" vertical="center" wrapText="1"/>
    </xf>
    <xf numFmtId="164" fontId="0" fillId="0" borderId="0" xfId="0" applyNumberFormat="1"/>
    <xf numFmtId="2" fontId="7" fillId="0" borderId="3" xfId="0" applyNumberFormat="1" applyFont="1" applyBorder="1"/>
    <xf numFmtId="2" fontId="7" fillId="0" borderId="3" xfId="0" applyNumberFormat="1" applyFont="1" applyBorder="1" applyAlignment="1">
      <alignment vertical="center"/>
    </xf>
    <xf numFmtId="2" fontId="7" fillId="0" borderId="10" xfId="0" applyNumberFormat="1" applyFont="1" applyBorder="1"/>
    <xf numFmtId="0" fontId="22" fillId="0" borderId="3" xfId="0" applyFont="1" applyBorder="1"/>
    <xf numFmtId="0" fontId="4" fillId="0" borderId="7" xfId="0" applyFont="1" applyBorder="1" applyAlignment="1">
      <alignment vertical="center"/>
    </xf>
    <xf numFmtId="2" fontId="4" fillId="4" borderId="1" xfId="0" applyNumberFormat="1" applyFont="1" applyFill="1" applyBorder="1"/>
    <xf numFmtId="2" fontId="4" fillId="4" borderId="8" xfId="0" applyNumberFormat="1" applyFont="1" applyFill="1" applyBorder="1"/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2" fontId="4" fillId="4" borderId="4" xfId="0" applyNumberFormat="1" applyFont="1" applyFill="1" applyBorder="1" applyProtection="1">
      <protection locked="0"/>
    </xf>
    <xf numFmtId="0" fontId="4" fillId="0" borderId="43" xfId="0" applyFont="1" applyBorder="1"/>
    <xf numFmtId="0" fontId="4" fillId="4" borderId="17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wrapText="1"/>
      <protection locked="0"/>
    </xf>
    <xf numFmtId="1" fontId="4" fillId="4" borderId="8" xfId="0" applyNumberFormat="1" applyFont="1" applyFill="1" applyBorder="1" applyProtection="1">
      <protection locked="0"/>
    </xf>
    <xf numFmtId="2" fontId="4" fillId="4" borderId="8" xfId="0" applyNumberFormat="1" applyFont="1" applyFill="1" applyBorder="1" applyProtection="1">
      <protection locked="0"/>
    </xf>
    <xf numFmtId="0" fontId="4" fillId="4" borderId="8" xfId="0" applyFont="1" applyFill="1" applyBorder="1" applyAlignment="1" applyProtection="1">
      <alignment vertical="center" wrapText="1"/>
      <protection locked="0"/>
    </xf>
    <xf numFmtId="1" fontId="4" fillId="4" borderId="8" xfId="0" applyNumberFormat="1" applyFont="1" applyFill="1" applyBorder="1" applyAlignment="1" applyProtection="1">
      <alignment vertical="center"/>
      <protection locked="0"/>
    </xf>
    <xf numFmtId="2" fontId="4" fillId="4" borderId="8" xfId="0" applyNumberFormat="1" applyFont="1" applyFill="1" applyBorder="1" applyAlignment="1" applyProtection="1">
      <alignment vertical="center"/>
      <protection locked="0"/>
    </xf>
    <xf numFmtId="2" fontId="4" fillId="4" borderId="9" xfId="0" applyNumberFormat="1" applyFont="1" applyFill="1" applyBorder="1" applyAlignment="1" applyProtection="1">
      <alignment vertical="center"/>
      <protection locked="0"/>
    </xf>
    <xf numFmtId="2" fontId="4" fillId="4" borderId="8" xfId="0" applyNumberFormat="1" applyFont="1" applyFill="1" applyBorder="1" applyAlignment="1">
      <alignment vertical="center"/>
    </xf>
    <xf numFmtId="0" fontId="4" fillId="4" borderId="17" xfId="0" applyFont="1" applyFill="1" applyBorder="1" applyAlignment="1" applyProtection="1">
      <alignment vertical="center" wrapText="1"/>
      <protection locked="0"/>
    </xf>
    <xf numFmtId="1" fontId="4" fillId="4" borderId="17" xfId="0" applyNumberFormat="1" applyFont="1" applyFill="1" applyBorder="1" applyAlignment="1" applyProtection="1">
      <alignment vertical="center"/>
      <protection locked="0"/>
    </xf>
    <xf numFmtId="2" fontId="4" fillId="4" borderId="17" xfId="0" applyNumberFormat="1" applyFont="1" applyFill="1" applyBorder="1" applyAlignment="1" applyProtection="1">
      <alignment vertical="center"/>
      <protection locked="0"/>
    </xf>
    <xf numFmtId="2" fontId="4" fillId="4" borderId="47" xfId="0" applyNumberFormat="1" applyFont="1" applyFill="1" applyBorder="1" applyAlignment="1" applyProtection="1">
      <alignment vertical="center"/>
      <protection locked="0"/>
    </xf>
    <xf numFmtId="2" fontId="4" fillId="4" borderId="17" xfId="0" applyNumberFormat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2" xfId="0" applyFont="1" applyBorder="1"/>
    <xf numFmtId="0" fontId="4" fillId="3" borderId="23" xfId="0" applyFont="1" applyFill="1" applyBorder="1"/>
    <xf numFmtId="0" fontId="4" fillId="3" borderId="39" xfId="0" applyFont="1" applyFill="1" applyBorder="1" applyAlignment="1" applyProtection="1">
      <alignment horizontal="center" vertical="center"/>
      <protection locked="0"/>
    </xf>
    <xf numFmtId="0" fontId="4" fillId="3" borderId="35" xfId="0" applyFont="1" applyFill="1" applyBorder="1" applyAlignment="1" applyProtection="1">
      <alignment wrapText="1"/>
      <protection locked="0"/>
    </xf>
    <xf numFmtId="1" fontId="4" fillId="3" borderId="35" xfId="0" applyNumberFormat="1" applyFont="1" applyFill="1" applyBorder="1" applyProtection="1">
      <protection locked="0"/>
    </xf>
    <xf numFmtId="2" fontId="4" fillId="3" borderId="35" xfId="0" applyNumberFormat="1" applyFont="1" applyFill="1" applyBorder="1" applyProtection="1">
      <protection locked="0"/>
    </xf>
    <xf numFmtId="0" fontId="4" fillId="2" borderId="23" xfId="0" applyFont="1" applyFill="1" applyBorder="1"/>
    <xf numFmtId="0" fontId="4" fillId="2" borderId="39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wrapText="1"/>
      <protection locked="0"/>
    </xf>
    <xf numFmtId="1" fontId="4" fillId="2" borderId="35" xfId="0" applyNumberFormat="1" applyFont="1" applyFill="1" applyBorder="1" applyProtection="1">
      <protection locked="0"/>
    </xf>
    <xf numFmtId="2" fontId="4" fillId="2" borderId="35" xfId="0" applyNumberFormat="1" applyFont="1" applyFill="1" applyBorder="1" applyAlignment="1" applyProtection="1">
      <alignment horizontal="center"/>
      <protection locked="0"/>
    </xf>
    <xf numFmtId="2" fontId="4" fillId="2" borderId="35" xfId="0" applyNumberFormat="1" applyFont="1" applyFill="1" applyBorder="1" applyProtection="1">
      <protection locked="0"/>
    </xf>
    <xf numFmtId="0" fontId="4" fillId="3" borderId="35" xfId="0" applyFont="1" applyFill="1" applyBorder="1" applyAlignment="1" applyProtection="1">
      <alignment horizontal="center" wrapText="1"/>
      <protection locked="0"/>
    </xf>
    <xf numFmtId="2" fontId="4" fillId="3" borderId="35" xfId="0" applyNumberFormat="1" applyFont="1" applyFill="1" applyBorder="1" applyAlignment="1" applyProtection="1">
      <alignment horizontal="center"/>
      <protection locked="0"/>
    </xf>
    <xf numFmtId="2" fontId="7" fillId="0" borderId="51" xfId="0" applyNumberFormat="1" applyFont="1" applyBorder="1" applyAlignment="1">
      <alignment horizontal="right" vertical="center"/>
    </xf>
    <xf numFmtId="0" fontId="4" fillId="0" borderId="52" xfId="0" applyFont="1" applyBorder="1"/>
    <xf numFmtId="0" fontId="4" fillId="4" borderId="37" xfId="0" applyFont="1" applyFill="1" applyBorder="1" applyAlignment="1" applyProtection="1">
      <alignment horizontal="center" vertical="center"/>
      <protection locked="0"/>
    </xf>
    <xf numFmtId="0" fontId="4" fillId="4" borderId="37" xfId="0" applyFont="1" applyFill="1" applyBorder="1" applyAlignment="1" applyProtection="1">
      <alignment wrapText="1"/>
      <protection locked="0"/>
    </xf>
    <xf numFmtId="1" fontId="4" fillId="4" borderId="37" xfId="0" applyNumberFormat="1" applyFont="1" applyFill="1" applyBorder="1" applyProtection="1">
      <protection locked="0"/>
    </xf>
    <xf numFmtId="2" fontId="4" fillId="4" borderId="37" xfId="0" applyNumberFormat="1" applyFont="1" applyFill="1" applyBorder="1" applyProtection="1">
      <protection locked="0"/>
    </xf>
    <xf numFmtId="2" fontId="4" fillId="4" borderId="53" xfId="0" applyNumberFormat="1" applyFont="1" applyFill="1" applyBorder="1" applyProtection="1">
      <protection locked="0"/>
    </xf>
    <xf numFmtId="2" fontId="4" fillId="4" borderId="37" xfId="0" applyNumberFormat="1" applyFont="1" applyFill="1" applyBorder="1"/>
    <xf numFmtId="0" fontId="20" fillId="2" borderId="33" xfId="0" applyFont="1" applyFill="1" applyBorder="1"/>
    <xf numFmtId="0" fontId="20" fillId="2" borderId="32" xfId="0" applyFont="1" applyFill="1" applyBorder="1"/>
    <xf numFmtId="0" fontId="21" fillId="0" borderId="10" xfId="0" applyFont="1" applyBorder="1"/>
    <xf numFmtId="0" fontId="4" fillId="4" borderId="19" xfId="0" applyFont="1" applyFill="1" applyBorder="1" applyAlignment="1" applyProtection="1">
      <alignment horizontal="center" vertical="center"/>
      <protection locked="0"/>
    </xf>
    <xf numFmtId="0" fontId="4" fillId="0" borderId="50" xfId="0" applyFont="1" applyBorder="1"/>
    <xf numFmtId="0" fontId="14" fillId="0" borderId="32" xfId="0" applyFont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21" fillId="0" borderId="42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1" fillId="0" borderId="50" xfId="0" applyFont="1" applyBorder="1" applyAlignment="1">
      <alignment vertical="center"/>
    </xf>
    <xf numFmtId="0" fontId="14" fillId="0" borderId="22" xfId="0" applyFont="1" applyBorder="1" applyAlignment="1">
      <alignment vertical="top" wrapText="1"/>
    </xf>
    <xf numFmtId="0" fontId="14" fillId="0" borderId="22" xfId="0" applyFont="1" applyBorder="1" applyAlignment="1">
      <alignment horizontal="center" vertical="center" wrapText="1"/>
    </xf>
    <xf numFmtId="2" fontId="14" fillId="0" borderId="39" xfId="0" applyNumberFormat="1" applyFont="1" applyBorder="1" applyAlignment="1">
      <alignment vertical="top" wrapText="1"/>
    </xf>
    <xf numFmtId="2" fontId="14" fillId="0" borderId="24" xfId="0" applyNumberFormat="1" applyFont="1" applyBorder="1" applyAlignment="1">
      <alignment vertical="top" wrapText="1"/>
    </xf>
    <xf numFmtId="0" fontId="14" fillId="2" borderId="22" xfId="0" applyFont="1" applyFill="1" applyBorder="1" applyAlignment="1">
      <alignment horizontal="center" vertical="center" wrapText="1"/>
    </xf>
    <xf numFmtId="2" fontId="14" fillId="2" borderId="39" xfId="0" applyNumberFormat="1" applyFont="1" applyFill="1" applyBorder="1" applyAlignment="1">
      <alignment vertical="top" wrapText="1"/>
    </xf>
    <xf numFmtId="2" fontId="14" fillId="2" borderId="24" xfId="0" applyNumberFormat="1" applyFont="1" applyFill="1" applyBorder="1" applyAlignment="1">
      <alignment vertical="top" wrapText="1"/>
    </xf>
    <xf numFmtId="0" fontId="4" fillId="0" borderId="31" xfId="0" applyFont="1" applyBorder="1" applyAlignment="1">
      <alignment vertical="center"/>
    </xf>
    <xf numFmtId="2" fontId="14" fillId="2" borderId="26" xfId="0" applyNumberFormat="1" applyFont="1" applyFill="1" applyBorder="1" applyAlignment="1">
      <alignment vertical="top" wrapText="1"/>
    </xf>
    <xf numFmtId="2" fontId="14" fillId="0" borderId="26" xfId="0" applyNumberFormat="1" applyFont="1" applyBorder="1" applyAlignment="1">
      <alignment vertical="top" wrapText="1"/>
    </xf>
    <xf numFmtId="2" fontId="4" fillId="2" borderId="36" xfId="0" applyNumberFormat="1" applyFont="1" applyFill="1" applyBorder="1" applyAlignment="1" applyProtection="1">
      <alignment horizontal="center"/>
      <protection locked="0"/>
    </xf>
    <xf numFmtId="2" fontId="4" fillId="3" borderId="36" xfId="0" applyNumberFormat="1" applyFont="1" applyFill="1" applyBorder="1" applyProtection="1">
      <protection locked="0"/>
    </xf>
    <xf numFmtId="0" fontId="21" fillId="0" borderId="42" xfId="0" applyFont="1" applyBorder="1"/>
    <xf numFmtId="164" fontId="5" fillId="5" borderId="10" xfId="0" applyNumberFormat="1" applyFont="1" applyFill="1" applyBorder="1"/>
    <xf numFmtId="2" fontId="14" fillId="5" borderId="39" xfId="0" applyNumberFormat="1" applyFont="1" applyFill="1" applyBorder="1" applyAlignment="1">
      <alignment vertical="top" wrapText="1"/>
    </xf>
    <xf numFmtId="2" fontId="14" fillId="5" borderId="35" xfId="0" applyNumberFormat="1" applyFont="1" applyFill="1" applyBorder="1" applyAlignment="1">
      <alignment vertical="top" wrapText="1"/>
    </xf>
    <xf numFmtId="2" fontId="14" fillId="5" borderId="36" xfId="0" applyNumberFormat="1" applyFont="1" applyFill="1" applyBorder="1" applyAlignment="1">
      <alignment vertical="top" wrapText="1"/>
    </xf>
    <xf numFmtId="2" fontId="4" fillId="5" borderId="38" xfId="0" applyNumberFormat="1" applyFont="1" applyFill="1" applyBorder="1" applyAlignment="1" applyProtection="1">
      <alignment horizontal="center" vertical="center"/>
      <protection locked="0"/>
    </xf>
    <xf numFmtId="0" fontId="14" fillId="0" borderId="22" xfId="0" applyFont="1" applyBorder="1" applyAlignment="1">
      <alignment vertical="center"/>
    </xf>
    <xf numFmtId="2" fontId="14" fillId="5" borderId="10" xfId="0" applyNumberFormat="1" applyFont="1" applyFill="1" applyBorder="1" applyAlignment="1">
      <alignment vertical="center"/>
    </xf>
    <xf numFmtId="2" fontId="4" fillId="2" borderId="54" xfId="0" applyNumberFormat="1" applyFont="1" applyFill="1" applyBorder="1" applyAlignment="1" applyProtection="1">
      <alignment horizontal="center"/>
      <protection locked="0"/>
    </xf>
    <xf numFmtId="2" fontId="4" fillId="5" borderId="20" xfId="0" applyNumberFormat="1" applyFont="1" applyFill="1" applyBorder="1" applyAlignment="1" applyProtection="1">
      <alignment horizontal="center" vertical="center"/>
      <protection locked="0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2" fontId="4" fillId="5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24" xfId="0" applyNumberFormat="1" applyFont="1" applyFill="1" applyBorder="1" applyAlignment="1" applyProtection="1">
      <alignment horizontal="center"/>
      <protection locked="0"/>
    </xf>
    <xf numFmtId="2" fontId="4" fillId="5" borderId="55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1" fontId="4" fillId="4" borderId="1" xfId="0" applyNumberFormat="1" applyFont="1" applyFill="1" applyBorder="1" applyAlignment="1" applyProtection="1">
      <alignment vertical="center"/>
      <protection locked="0"/>
    </xf>
    <xf numFmtId="2" fontId="4" fillId="4" borderId="1" xfId="0" applyNumberFormat="1" applyFont="1" applyFill="1" applyBorder="1" applyAlignment="1" applyProtection="1">
      <alignment vertical="center"/>
      <protection locked="0"/>
    </xf>
    <xf numFmtId="2" fontId="4" fillId="4" borderId="4" xfId="0" applyNumberFormat="1" applyFont="1" applyFill="1" applyBorder="1" applyAlignment="1" applyProtection="1">
      <alignment vertical="center"/>
      <protection locked="0"/>
    </xf>
    <xf numFmtId="2" fontId="4" fillId="4" borderId="1" xfId="0" applyNumberFormat="1" applyFont="1" applyFill="1" applyBorder="1" applyAlignment="1">
      <alignment vertical="center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1" fontId="4" fillId="4" borderId="17" xfId="0" applyNumberFormat="1" applyFont="1" applyFill="1" applyBorder="1" applyAlignment="1" applyProtection="1">
      <alignment vertical="center" wrapText="1"/>
      <protection locked="0"/>
    </xf>
    <xf numFmtId="2" fontId="1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right" vertical="center"/>
    </xf>
    <xf numFmtId="2" fontId="7" fillId="5" borderId="3" xfId="0" applyNumberFormat="1" applyFont="1" applyFill="1" applyBorder="1"/>
    <xf numFmtId="164" fontId="13" fillId="0" borderId="10" xfId="0" applyNumberFormat="1" applyFont="1" applyBorder="1" applyAlignment="1">
      <alignment vertical="center" wrapText="1"/>
    </xf>
    <xf numFmtId="2" fontId="4" fillId="4" borderId="17" xfId="0" applyNumberFormat="1" applyFont="1" applyFill="1" applyBorder="1" applyAlignment="1" applyProtection="1">
      <alignment vertical="center" wrapText="1"/>
      <protection locked="0"/>
    </xf>
    <xf numFmtId="2" fontId="4" fillId="4" borderId="47" xfId="0" applyNumberFormat="1" applyFont="1" applyFill="1" applyBorder="1" applyAlignment="1" applyProtection="1">
      <alignment vertical="center" wrapText="1"/>
      <protection locked="0"/>
    </xf>
    <xf numFmtId="2" fontId="4" fillId="4" borderId="17" xfId="0" applyNumberFormat="1" applyFont="1" applyFill="1" applyBorder="1" applyAlignment="1">
      <alignment vertical="center" wrapText="1"/>
    </xf>
    <xf numFmtId="2" fontId="0" fillId="0" borderId="3" xfId="0" applyNumberFormat="1" applyBorder="1"/>
    <xf numFmtId="0" fontId="0" fillId="0" borderId="3" xfId="0" applyBorder="1"/>
    <xf numFmtId="164" fontId="6" fillId="0" borderId="55" xfId="0" applyNumberFormat="1" applyFont="1" applyBorder="1" applyAlignment="1">
      <alignment horizontal="center" vertical="center" wrapText="1"/>
    </xf>
    <xf numFmtId="0" fontId="18" fillId="6" borderId="34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6" borderId="23" xfId="0" applyFont="1" applyFill="1" applyBorder="1" applyAlignment="1">
      <alignment horizontal="center" vertical="center" wrapText="1"/>
    </xf>
    <xf numFmtId="0" fontId="18" fillId="6" borderId="22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6" borderId="24" xfId="0" applyFont="1" applyFill="1" applyBorder="1" applyAlignment="1">
      <alignment horizontal="center" vertical="center" wrapText="1"/>
    </xf>
    <xf numFmtId="0" fontId="6" fillId="0" borderId="14" xfId="0" applyFont="1" applyBorder="1"/>
    <xf numFmtId="2" fontId="12" fillId="5" borderId="58" xfId="0" applyNumberFormat="1" applyFont="1" applyFill="1" applyBorder="1" applyAlignment="1" applyProtection="1">
      <alignment horizontal="center" vertical="center" wrapText="1"/>
      <protection locked="0"/>
    </xf>
    <xf numFmtId="2" fontId="12" fillId="6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56" xfId="0" applyNumberFormat="1" applyFont="1" applyBorder="1" applyAlignment="1">
      <alignment horizontal="center" vertical="center" wrapText="1"/>
    </xf>
    <xf numFmtId="164" fontId="6" fillId="6" borderId="14" xfId="0" applyNumberFormat="1" applyFont="1" applyFill="1" applyBorder="1" applyAlignment="1">
      <alignment horizontal="center" vertical="center" wrapText="1"/>
    </xf>
    <xf numFmtId="164" fontId="26" fillId="5" borderId="2" xfId="0" applyNumberFormat="1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vertical="center" wrapText="1"/>
    </xf>
    <xf numFmtId="2" fontId="7" fillId="6" borderId="14" xfId="0" applyNumberFormat="1" applyFont="1" applyFill="1" applyBorder="1" applyAlignment="1">
      <alignment horizontal="right" vertical="center"/>
    </xf>
    <xf numFmtId="2" fontId="7" fillId="0" borderId="12" xfId="0" applyNumberFormat="1" applyFont="1" applyBorder="1" applyAlignment="1">
      <alignment horizontal="right" vertical="center"/>
    </xf>
    <xf numFmtId="2" fontId="7" fillId="6" borderId="12" xfId="0" applyNumberFormat="1" applyFont="1" applyFill="1" applyBorder="1" applyAlignment="1">
      <alignment horizontal="right" vertical="center"/>
    </xf>
    <xf numFmtId="2" fontId="7" fillId="6" borderId="51" xfId="0" applyNumberFormat="1" applyFont="1" applyFill="1" applyBorder="1" applyAlignment="1">
      <alignment horizontal="right" vertical="center"/>
    </xf>
    <xf numFmtId="2" fontId="12" fillId="5" borderId="6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2" xfId="0" applyNumberFormat="1" applyFont="1" applyBorder="1" applyAlignment="1">
      <alignment horizontal="right" vertical="center"/>
    </xf>
    <xf numFmtId="2" fontId="7" fillId="6" borderId="2" xfId="0" applyNumberFormat="1" applyFont="1" applyFill="1" applyBorder="1" applyAlignment="1">
      <alignment horizontal="right" vertical="center"/>
    </xf>
    <xf numFmtId="2" fontId="7" fillId="6" borderId="3" xfId="0" applyNumberFormat="1" applyFont="1" applyFill="1" applyBorder="1"/>
    <xf numFmtId="2" fontId="7" fillId="6" borderId="5" xfId="0" applyNumberFormat="1" applyFont="1" applyFill="1" applyBorder="1"/>
    <xf numFmtId="2" fontId="7" fillId="6" borderId="15" xfId="0" applyNumberFormat="1" applyFont="1" applyFill="1" applyBorder="1"/>
    <xf numFmtId="2" fontId="12" fillId="6" borderId="3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3" xfId="0" applyNumberFormat="1" applyFont="1" applyFill="1" applyBorder="1" applyAlignment="1">
      <alignment horizontal="center" vertical="center" wrapText="1"/>
    </xf>
    <xf numFmtId="164" fontId="26" fillId="5" borderId="3" xfId="0" applyNumberFormat="1" applyFont="1" applyFill="1" applyBorder="1" applyAlignment="1">
      <alignment horizontal="center" vertical="center" wrapText="1"/>
    </xf>
    <xf numFmtId="2" fontId="7" fillId="6" borderId="3" xfId="0" applyNumberFormat="1" applyFont="1" applyFill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2" fontId="7" fillId="6" borderId="5" xfId="0" applyNumberFormat="1" applyFont="1" applyFill="1" applyBorder="1" applyAlignment="1">
      <alignment vertical="center"/>
    </xf>
    <xf numFmtId="2" fontId="7" fillId="6" borderId="15" xfId="0" applyNumberFormat="1" applyFont="1" applyFill="1" applyBorder="1" applyAlignment="1">
      <alignment vertical="center"/>
    </xf>
    <xf numFmtId="2" fontId="0" fillId="6" borderId="3" xfId="0" applyNumberFormat="1" applyFill="1" applyBorder="1"/>
    <xf numFmtId="2" fontId="0" fillId="0" borderId="1" xfId="0" applyNumberFormat="1" applyBorder="1"/>
    <xf numFmtId="2" fontId="0" fillId="6" borderId="1" xfId="0" applyNumberFormat="1" applyFill="1" applyBorder="1"/>
    <xf numFmtId="1" fontId="0" fillId="0" borderId="3" xfId="0" applyNumberFormat="1" applyBorder="1"/>
    <xf numFmtId="1" fontId="0" fillId="6" borderId="3" xfId="0" applyNumberFormat="1" applyFill="1" applyBorder="1"/>
    <xf numFmtId="0" fontId="0" fillId="0" borderId="1" xfId="0" applyBorder="1"/>
    <xf numFmtId="0" fontId="0" fillId="6" borderId="1" xfId="0" applyFill="1" applyBorder="1"/>
    <xf numFmtId="0" fontId="0" fillId="6" borderId="3" xfId="0" applyFill="1" applyBorder="1"/>
    <xf numFmtId="2" fontId="12" fillId="5" borderId="30" xfId="0" applyNumberFormat="1" applyFont="1" applyFill="1" applyBorder="1" applyAlignment="1" applyProtection="1">
      <alignment horizontal="center" vertical="center" wrapText="1"/>
      <protection locked="0"/>
    </xf>
    <xf numFmtId="2" fontId="12" fillId="6" borderId="28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23" xfId="0" applyNumberFormat="1" applyFont="1" applyBorder="1" applyAlignment="1">
      <alignment horizontal="center" vertical="center" wrapText="1"/>
    </xf>
    <xf numFmtId="164" fontId="6" fillId="6" borderId="22" xfId="0" applyNumberFormat="1" applyFont="1" applyFill="1" applyBorder="1" applyAlignment="1">
      <alignment horizontal="center" vertical="center" wrapText="1"/>
    </xf>
    <xf numFmtId="164" fontId="26" fillId="5" borderId="28" xfId="0" applyNumberFormat="1" applyFont="1" applyFill="1" applyBorder="1" applyAlignment="1">
      <alignment horizontal="center" vertical="center" wrapText="1"/>
    </xf>
    <xf numFmtId="164" fontId="13" fillId="2" borderId="10" xfId="0" applyNumberFormat="1" applyFont="1" applyFill="1" applyBorder="1" applyAlignment="1">
      <alignment vertical="center" wrapText="1"/>
    </xf>
    <xf numFmtId="2" fontId="7" fillId="6" borderId="10" xfId="0" applyNumberFormat="1" applyFont="1" applyFill="1" applyBorder="1"/>
    <xf numFmtId="2" fontId="7" fillId="0" borderId="59" xfId="0" applyNumberFormat="1" applyFont="1" applyBorder="1"/>
    <xf numFmtId="2" fontId="7" fillId="6" borderId="59" xfId="0" applyNumberFormat="1" applyFont="1" applyFill="1" applyBorder="1"/>
    <xf numFmtId="2" fontId="7" fillId="6" borderId="16" xfId="0" applyNumberFormat="1" applyFont="1" applyFill="1" applyBorder="1"/>
    <xf numFmtId="0" fontId="5" fillId="5" borderId="52" xfId="0" applyFont="1" applyFill="1" applyBorder="1"/>
    <xf numFmtId="0" fontId="18" fillId="2" borderId="34" xfId="0" applyFont="1" applyFill="1" applyBorder="1" applyAlignment="1">
      <alignment horizontal="center" vertical="center" wrapText="1"/>
    </xf>
    <xf numFmtId="0" fontId="21" fillId="0" borderId="60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2" fontId="7" fillId="2" borderId="15" xfId="0" applyNumberFormat="1" applyFont="1" applyFill="1" applyBorder="1"/>
    <xf numFmtId="0" fontId="21" fillId="0" borderId="13" xfId="0" applyFont="1" applyBorder="1"/>
    <xf numFmtId="0" fontId="21" fillId="0" borderId="43" xfId="0" applyFont="1" applyBorder="1"/>
    <xf numFmtId="0" fontId="21" fillId="2" borderId="23" xfId="0" applyFont="1" applyFill="1" applyBorder="1"/>
    <xf numFmtId="0" fontId="21" fillId="2" borderId="39" xfId="0" applyFont="1" applyFill="1" applyBorder="1" applyAlignment="1" applyProtection="1">
      <alignment horizontal="center" vertical="center"/>
      <protection locked="0"/>
    </xf>
    <xf numFmtId="0" fontId="21" fillId="2" borderId="35" xfId="0" applyFont="1" applyFill="1" applyBorder="1" applyAlignment="1" applyProtection="1">
      <alignment horizontal="center" wrapText="1"/>
      <protection locked="0"/>
    </xf>
    <xf numFmtId="1" fontId="21" fillId="2" borderId="35" xfId="0" applyNumberFormat="1" applyFont="1" applyFill="1" applyBorder="1" applyProtection="1">
      <protection locked="0"/>
    </xf>
    <xf numFmtId="2" fontId="21" fillId="2" borderId="35" xfId="0" applyNumberFormat="1" applyFont="1" applyFill="1" applyBorder="1" applyAlignment="1" applyProtection="1">
      <alignment horizontal="center"/>
      <protection locked="0"/>
    </xf>
    <xf numFmtId="2" fontId="21" fillId="2" borderId="35" xfId="0" applyNumberFormat="1" applyFont="1" applyFill="1" applyBorder="1" applyProtection="1">
      <protection locked="0"/>
    </xf>
    <xf numFmtId="0" fontId="21" fillId="0" borderId="0" xfId="0" applyFont="1"/>
    <xf numFmtId="0" fontId="3" fillId="0" borderId="0" xfId="0" applyFont="1"/>
    <xf numFmtId="0" fontId="21" fillId="0" borderId="38" xfId="0" applyFont="1" applyBorder="1"/>
    <xf numFmtId="0" fontId="21" fillId="0" borderId="18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6" borderId="21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/>
    </xf>
    <xf numFmtId="0" fontId="18" fillId="6" borderId="23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4" fillId="0" borderId="4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4" borderId="45" xfId="0" applyFont="1" applyFill="1" applyBorder="1" applyAlignment="1" applyProtection="1">
      <alignment horizontal="left" wrapText="1"/>
      <protection locked="0"/>
    </xf>
    <xf numFmtId="0" fontId="4" fillId="4" borderId="8" xfId="0" applyFont="1" applyFill="1" applyBorder="1" applyAlignment="1" applyProtection="1">
      <alignment horizontal="left" wrapText="1"/>
      <protection locked="0"/>
    </xf>
    <xf numFmtId="0" fontId="5" fillId="0" borderId="20" xfId="0" applyFont="1" applyBorder="1" applyAlignment="1">
      <alignment horizont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3" fillId="6" borderId="28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28" xfId="0" applyFont="1" applyFill="1" applyBorder="1" applyAlignment="1">
      <alignment horizontal="center" vertical="center" wrapText="1"/>
    </xf>
    <xf numFmtId="0" fontId="19" fillId="5" borderId="40" xfId="0" applyFont="1" applyFill="1" applyBorder="1" applyAlignment="1">
      <alignment horizontal="center" vertical="center" wrapText="1"/>
    </xf>
    <xf numFmtId="0" fontId="19" fillId="5" borderId="41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 applyProtection="1">
      <alignment horizontal="center" wrapText="1"/>
      <protection locked="0"/>
    </xf>
    <xf numFmtId="0" fontId="21" fillId="2" borderId="36" xfId="0" applyFont="1" applyFill="1" applyBorder="1" applyAlignment="1" applyProtection="1">
      <alignment horizontal="center" wrapText="1"/>
      <protection locked="0"/>
    </xf>
    <xf numFmtId="0" fontId="21" fillId="5" borderId="16" xfId="0" applyFont="1" applyFill="1" applyBorder="1" applyAlignment="1" applyProtection="1">
      <alignment horizontal="center" wrapText="1"/>
      <protection locked="0"/>
    </xf>
    <xf numFmtId="0" fontId="21" fillId="5" borderId="38" xfId="0" applyFont="1" applyFill="1" applyBorder="1" applyAlignment="1" applyProtection="1">
      <alignment horizontal="center" wrapText="1"/>
      <protection locked="0"/>
    </xf>
    <xf numFmtId="0" fontId="18" fillId="5" borderId="34" xfId="0" applyFont="1" applyFill="1" applyBorder="1" applyAlignment="1">
      <alignment vertical="top" wrapText="1"/>
    </xf>
    <xf numFmtId="0" fontId="20" fillId="5" borderId="36" xfId="0" applyFont="1" applyFill="1" applyBorder="1" applyAlignment="1">
      <alignment vertical="top" wrapText="1"/>
    </xf>
    <xf numFmtId="0" fontId="17" fillId="0" borderId="25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4" fillId="0" borderId="51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4" fillId="0" borderId="45" xfId="0" applyFont="1" applyBorder="1" applyAlignment="1">
      <alignment horizontal="center" vertical="top" wrapText="1"/>
    </xf>
    <xf numFmtId="0" fontId="14" fillId="0" borderId="37" xfId="0" applyFont="1" applyBorder="1" applyAlignment="1">
      <alignment horizontal="center" vertical="top" wrapText="1"/>
    </xf>
    <xf numFmtId="0" fontId="0" fillId="0" borderId="45" xfId="0" applyBorder="1" applyAlignment="1">
      <alignment horizontal="center"/>
    </xf>
    <xf numFmtId="0" fontId="0" fillId="0" borderId="49" xfId="0" applyBorder="1" applyAlignment="1">
      <alignment horizontal="center"/>
    </xf>
    <xf numFmtId="0" fontId="4" fillId="0" borderId="40" xfId="0" applyFont="1" applyBorder="1" applyAlignment="1">
      <alignment horizontal="center" vertical="center"/>
    </xf>
    <xf numFmtId="0" fontId="0" fillId="0" borderId="45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46" xfId="0" applyBorder="1" applyAlignment="1">
      <alignment horizontal="center"/>
    </xf>
    <xf numFmtId="0" fontId="0" fillId="0" borderId="50" xfId="0" applyBorder="1" applyAlignment="1">
      <alignment horizontal="center"/>
    </xf>
    <xf numFmtId="0" fontId="21" fillId="0" borderId="13" xfId="0" applyFont="1" applyBorder="1" applyAlignment="1">
      <alignment wrapText="1"/>
    </xf>
    <xf numFmtId="0" fontId="21" fillId="0" borderId="43" xfId="0" applyFont="1" applyBorder="1" applyAlignment="1">
      <alignment wrapText="1"/>
    </xf>
    <xf numFmtId="0" fontId="21" fillId="2" borderId="43" xfId="0" applyFont="1" applyFill="1" applyBorder="1" applyAlignment="1">
      <alignment wrapText="1"/>
    </xf>
    <xf numFmtId="0" fontId="21" fillId="0" borderId="43" xfId="0" applyFont="1" applyBorder="1" applyAlignment="1">
      <alignment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99FFCC"/>
      <color rgb="FFCCFFCC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externalLink" Target="externalLinks/externalLink34.xml"/><Relationship Id="rId50" Type="http://schemas.openxmlformats.org/officeDocument/2006/relationships/externalLink" Target="externalLinks/externalLink37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externalLink" Target="externalLinks/externalLink3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28.xml"/><Relationship Id="rId54" Type="http://schemas.openxmlformats.org/officeDocument/2006/relationships/externalLink" Target="externalLinks/externalLink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externalLink" Target="externalLinks/externalLink32.xml"/><Relationship Id="rId53" Type="http://schemas.openxmlformats.org/officeDocument/2006/relationships/externalLink" Target="externalLinks/externalLink40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externalLink" Target="externalLinks/externalLink36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externalLink" Target="externalLinks/externalLink31.xml"/><Relationship Id="rId52" Type="http://schemas.openxmlformats.org/officeDocument/2006/relationships/externalLink" Target="externalLinks/externalLink3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Relationship Id="rId48" Type="http://schemas.openxmlformats.org/officeDocument/2006/relationships/externalLink" Target="externalLinks/externalLink35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1%20&#1076;&#1077;&#1085;&#1100;/217%20&#1082;&#1072;&#1096;&#1072;%20&#1088;&#1080;&#1089;&#1086;&#1074;&#1072;&#1103;%20&#1074;&#1103;&#1079;&#1082;&#1072;&#1103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152%20&#1082;&#1072;&#1088;&#1090;&#1086;&#1092;&#1077;&#1083;&#1100;%20&#1086;&#1090;&#1074;&#1072;&#1088;&#1085;&#1086;&#1081;%20&#1089;%20&#1084;&#1072;&#1089;&#1083;&#1086;&#1084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3%20&#1076;&#1077;&#1085;&#1100;/463%20&#1082;&#1072;&#1082;&#1072;&#1086;%20&#1089;%20&#1084;&#1086;&#1083;&#1086;&#1082;&#1086;&#1084;%20&#1089;&#1075;&#1091;&#1097;&#1077;&#1085;&#1085;&#1099;&#108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150%20&#1080;&#1082;&#1088;&#1072;%20&#1082;&#1072;&#1073;&#1072;&#1095;&#1082;&#1086;&#1074;&#1072;&#1103;%20(%20&#1087;&#1088;&#1086;&#1084;&#1099;&#1096;&#1083;&#1077;&#1085;&#1085;&#1086;&#1075;&#1086;%20&#1087;&#1088;&#1086;&#1080;&#1079;&#1074;&#1086;&#1076;&#1089;&#1090;&#1074;&#1072;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1)&#1085;&#1086;&#1074;&#1086;&#1077;%20&#1084;&#1077;&#1085;&#1102;/&#1084;&#1077;&#1085;&#1102;%20&#1085;&#1072;%20&#1086;&#1089;&#1085;&#1086;&#1074;&#1077;%20&#1082;&#1086;&#1085;&#1094;&#1077;&#1087;&#1094;&#1080;&#1080;%202024/&#1054;&#1042;&#1047;/&#1054;&#1042;&#1047;%20&#1058;&#1050;/330%20&#1087;&#1083;&#1086;&#1074;%20&#1080;&#1079;%20&#1075;&#1086;&#1074;&#1103;&#1076;&#1080;&#1085;&#109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%20&#1079;&#1072;&#1074;&#1090;&#1088;&#1072;&#1082;/374%20&#1082;&#1086;&#1090;&#1083;&#1077;&#1090;&#1099;,%20&#1088;&#1091;&#1073;&#1083;&#1077;&#1085;&#1085;&#1099;&#1077;%20&#1080;&#1079;%20&#1087;&#1090;&#1080;&#1094;&#1099;%20&#1089;%20&#1089;&#1086;&#1091;&#1089;&#1086;&#1084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5%20&#1076;&#1077;&#1085;&#1100;/213%20&#1082;&#1072;&#1096;&#1072;%20&#1075;&#1088;&#1077;&#1095;&#1085;&#1077;&#1074;&#1072;&#1103;%20&#1074;&#1103;&#1079;&#1082;&#1072;&#1103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268%20&#1086;&#1084;&#1083;&#1077;&#1090;%20&#1085;&#1072;&#1090;&#1091;&#1088;&#1072;&#1083;&#1100;&#1085;&#1099;&#1081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%20&#1079;&#1072;&#1074;&#1090;&#1088;&#1072;&#1082;/457%20&#1095;&#1072;&#1081;%20&#1089;%20&#1089;&#1072;&#1093;&#1072;&#1088;&#1086;&#1084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457%20&#1095;&#1072;&#1081;%20&#1089;%20&#1089;&#1072;&#1093;&#1072;&#1088;&#1086;&#1084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276-&#1072;%20%20&#1084;&#1086;&#1083;&#1086;&#1082;&#1086;%20&#1074;&#1080;&#1090;&#1072;&#1084;&#1080;&#1085;&#1080;&#1079;&#1080;&#1088;&#1086;&#1074;&#1072;&#1085;&#1085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1%20&#1076;&#1077;&#1085;&#1100;/308%20&#1082;&#1086;&#1090;&#1083;&#1077;&#1090;&#1099;%20&#1088;&#1099;&#1073;&#1085;&#1099;&#1077;%20&#1083;&#1102;&#1073;&#1080;&#1090;&#1077;&#1083;&#1100;&#1089;&#1080;&#1077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7%20&#1076;&#1077;&#1085;&#1100;/321%20&#1084;&#1103;&#1089;&#1086;%20&#1090;&#1091;&#1096;&#1077;&#1085;&#1086;&#1077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7%20&#1076;&#1077;&#1085;&#1100;/377%20&#1087;&#1102;&#1088;&#1077;%20&#1082;&#1072;&#1088;&#1090;&#1086;&#1092;&#1077;&#1083;&#1100;&#1085;&#1086;&#1077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1)&#1085;&#1086;&#1074;&#1086;&#1077;%20&#1084;&#1077;&#1085;&#1102;/&#1084;&#1077;&#1085;&#1102;%20&#1085;&#1072;%20&#1086;&#1089;&#1085;&#1086;&#1074;&#1077;%20&#1082;&#1086;&#1085;&#1094;&#1077;&#1087;&#1094;&#1080;&#1080;%202024/&#1054;&#1042;&#1047;/&#1054;&#1042;&#1047;%20&#1058;&#1050;/259%20&#1084;&#1072;&#1082;&#1072;&#1088;&#1086;&#1085;&#1085;&#1099;&#1077;%20&#1080;&#1079;&#1076;&#1077;&#1083;&#1080;&#1103;%20&#1086;&#1090;&#1074;&#1072;&#1088;&#1085;&#1099;&#1077;%20&#1089;%20&#1089;&#1099;&#1088;&#1086;&#1084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470%20&#1082;&#1080;&#1089;&#1083;&#1086;&#1084;&#1086;&#1083;&#1086;&#1095;&#1085;&#1099;&#1081;%20&#1085;&#1072;&#1087;&#1080;&#1090;&#1086;&#1082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%20&#1079;&#1072;&#1074;&#1090;&#1088;&#1072;&#1082;/348%20&#1090;&#1077;&#1092;&#1090;&#1077;&#1083;&#1080;%20&#1080;&#1079;%20&#1075;&#1086;&#1074;&#1103;&#1076;&#1080;&#1085;&#1099;%20(%20&#1087;&#1072;&#1088;&#1086;&#1074;&#1099;&#1077;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%20&#1079;&#1072;&#1074;&#1090;&#1088;&#1072;&#1082;/211%20&#1082;&#1072;&#1096;&#1072;%20&#1088;&#1072;&#1089;&#1089;&#1099;&#1087;&#1095;&#1072;&#1090;&#1072;&#1103;%20&#1089;%20&#1086;&#1074;&#1086;&#1097;&#1072;&#1084;&#1080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%20&#1079;&#1072;&#1074;&#1090;&#1088;&#1072;&#1082;/463%20&#1082;&#1072;&#1082;&#1072;&#1086;%20&#1089;%20&#1084;&#1086;&#1083;&#1086;&#1082;&#1086;&#1084;%20&#1089;&#1075;&#1091;&#1097;&#1077;&#1085;&#1085;&#1099;&#1084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%20&#1079;&#1072;&#1074;&#1090;&#1088;&#1072;&#1082;/366%20&#1087;&#1090;&#1080;&#1094;&#1072;%20&#1086;&#1090;&#1074;&#1072;&#1088;&#1085;&#1072;&#1103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%20&#1079;&#1072;&#1074;&#1090;&#1088;&#1072;&#1082;/377%20&#1087;&#1102;&#1088;&#1077;%20&#1082;&#1072;&#1088;&#1090;&#1086;&#1092;&#1077;&#1083;&#1100;&#1085;&#1086;&#1077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%20&#1079;&#1072;&#1074;&#1090;&#1088;&#1072;&#1082;/279%20&#1079;&#1072;&#1087;&#1077;&#1082;&#1072;&#1085;&#1082;&#1072;%20&#1080;&#1079;%20&#1090;&#1074;&#1086;&#1088;&#1086;&#1075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%20&#1079;&#1072;&#1074;&#1090;&#1088;&#1072;&#1082;/466%20&#1082;&#1086;&#1092;&#1077;&#1081;&#1085;&#1099;&#1081;%20&#1085;&#1072;&#1087;&#1080;&#1090;&#1086;&#1082;%20&#1085;&#1072;%20&#1089;&#1075;&#1091;&#1097;&#1077;&#1085;&#1085;&#1086;&#1084;%20&#1084;&#1086;&#1083;&#1086;&#1082;&#1077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%20&#1079;&#1072;&#1074;&#1090;&#1088;&#1072;&#1082;/330%20&#1087;&#1083;&#1086;&#1074;%20&#1080;&#1079;%20&#1075;&#1086;&#1074;&#1103;&#1076;&#1080;&#1085;&#1099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%20&#1079;&#1072;&#1074;&#1090;&#1088;&#1072;&#1082;/259%20&#1084;&#1072;&#1082;&#1072;&#1088;&#1086;&#1085;&#1085;&#1099;&#1077;%20&#1080;&#1079;&#1076;&#1077;&#1083;&#1080;&#1103;%20&#1086;&#1090;&#1074;&#1072;&#1088;&#1085;&#1099;&#1077;%20&#1089;%20&#1089;&#1099;&#1088;&#1086;&#1084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%20&#1079;&#1072;&#1074;&#1090;&#1088;&#1072;&#1082;/310%20&#1064;&#1085;&#1080;&#1094;&#1077;&#1083;&#1100;%20&#1088;&#1099;&#1073;&#1085;&#1099;&#1081;%20&#1085;&#1072;&#1090;&#1091;&#1088;&#1072;&#1083;&#1100;&#1085;&#1099;&#1081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%20&#1079;&#1072;&#1074;&#1090;&#1088;&#1072;&#1082;/82%20&#1092;&#1088;&#1091;&#1082;&#1090;&#1099;%20&#1089;&#1074;&#1077;&#1078;&#1080;&#1077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4%20&#1076;&#1077;&#1085;&#1100;/82%20&#1092;&#1088;&#1091;&#1082;&#1090;&#1099;%20&#1089;&#1074;&#1077;&#1078;&#1080;&#1077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%20&#1079;&#1072;&#1074;&#1090;&#1088;&#1072;&#1082;/268%20&#1086;&#1084;&#1083;&#1077;&#1090;%20&#1085;&#1072;&#1090;&#1091;&#1088;&#1072;&#1083;&#1100;&#1085;&#1099;&#1081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7%20&#1076;&#1077;&#1085;&#1100;/463%20&#1082;&#1072;&#1082;&#1072;&#1086;%20&#1089;%20&#1084;&#1086;&#1083;&#1086;&#1082;&#1086;&#1084;%20&#1089;&#1075;&#1091;&#1097;&#1077;&#1085;&#1085;&#1099;&#1084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6%20&#1076;&#1077;&#1085;&#1100;/470%20&#1082;&#1080;&#1089;&#1083;&#1086;&#1084;&#1086;&#1083;&#1086;&#1095;&#1085;&#1099;&#1081;%20&#1085;&#1072;&#1087;&#1080;&#1090;&#1086;&#1082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%20&#1079;&#1072;&#1074;&#1090;&#1088;&#1072;&#1082;/226%20&#1082;&#1072;&#1096;&#1072;%20&#1076;&#1088;&#1091;&#1078;&#1073;&#1072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5%20&#1076;&#1077;&#1085;&#1100;/457%20&#1095;&#1072;&#1081;%20&#1089;%20&#1089;&#1072;&#1093;&#1072;&#1088;&#1086;&#108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)&#1085;&#1086;&#1074;&#1086;&#1077;%20&#1084;&#1077;&#1085;&#1102;/&#1084;&#1077;&#1085;&#1102;%20&#1085;&#1072;%20&#1086;&#1089;&#1085;&#1086;&#1074;&#1077;%20&#1082;&#1086;&#1085;&#1094;&#1077;&#1087;&#1094;&#1080;&#1080;%202024/&#1054;&#1042;&#1047;/&#1054;&#1042;&#1047;%20&#1058;&#1050;/279%20&#1079;&#1072;&#1087;&#1077;&#1082;&#1072;&#1085;&#1082;&#1072;%20&#1080;&#1079;%20&#1090;&#1074;&#1086;&#1088;&#1086;&#1075;&#1072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10%20&#1076;&#1077;&#1085;&#1100;/457%20&#1095;&#1072;&#1081;%20&#1089;%20&#1089;&#1072;&#1093;&#1072;&#1088;&#1086;&#1084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%20&#1079;&#1072;&#1074;&#1090;&#1088;&#1072;&#1082;/26%20&#1089;&#1072;&#1083;&#1072;&#1090;%20&#1080;&#1079;%20&#1089;&#1074;&#1077;&#1082;&#1083;&#1099;%20&#1086;&#1090;&#1074;&#1072;&#1088;&#1085;&#1086;&#108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)&#1085;&#1086;&#1074;&#1086;&#1077;%20&#1084;&#1077;&#1085;&#1102;/&#1084;&#1077;&#1085;&#1102;%20&#1085;&#1072;%20&#1086;&#1089;&#1085;&#1086;&#1074;&#1077;%20&#1082;&#1086;&#1085;&#1094;&#1077;&#1087;&#1094;&#1080;&#1080;%202024/&#1054;&#1042;&#1047;/&#1054;&#1042;&#1047;%20&#1058;&#1050;/471%20&#1084;&#1086;&#1083;&#1086;&#1082;&#1086;%20&#1089;&#1075;&#1091;&#1097;&#1077;&#1085;&#1085;&#1086;&#107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2%20&#1076;&#1077;&#1085;&#1100;/457%20&#1095;&#1072;&#1081;%20&#1089;%20&#1089;&#1072;&#1093;&#1072;&#1088;&#1086;&#108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82%20&#1092;&#1088;&#1091;&#1082;&#1090;&#1099;%20&#1089;&#1074;&#1077;&#1078;&#1080;&#1077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%20&#1079;&#1072;&#1074;&#1090;&#1088;&#1072;&#1082;/149%20&#1086;&#1074;&#1086;&#1097;&#1080;%20&#1082;&#1086;&#1085;&#1089;&#1077;&#1088;&#1074;&#1080;&#1088;&#1086;&#1074;&#1072;&#1085;&#1085;&#1099;&#1077;%20(%20&#1087;&#1086;&#1088;&#1094;&#1080;&#1103;&#1084;&#1080;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1)&#1085;&#1086;&#1074;&#1086;&#1077;%20&#1084;&#1077;&#1085;&#1102;/&#1084;&#1077;&#1085;&#1102;%20&#1085;&#1072;%20&#1086;&#1089;&#1085;&#1086;&#1074;&#1077;%20&#1082;&#1086;&#1085;&#1094;&#1077;&#1087;&#1094;&#1080;&#1080;%202024/&#1054;&#1042;&#1047;/&#1054;&#1042;&#1047;%20&#1058;&#1050;/310%20&#1064;&#1085;&#1080;&#1094;&#1077;&#1083;&#1100;%20&#1088;&#1099;&#1073;&#1085;&#1099;&#1081;%20&#1085;&#1072;&#1090;&#1091;&#1088;&#1072;&#1083;&#1100;&#1085;&#1099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5.9</v>
          </cell>
        </row>
        <row r="23">
          <cell r="J23">
            <v>7.375</v>
          </cell>
          <cell r="M23">
            <v>152.25</v>
          </cell>
        </row>
        <row r="24">
          <cell r="C24">
            <v>122.5</v>
          </cell>
          <cell r="D24">
            <v>122.5</v>
          </cell>
          <cell r="J24">
            <v>8.25</v>
          </cell>
          <cell r="M24">
            <v>192.5</v>
          </cell>
        </row>
        <row r="25">
          <cell r="J25">
            <v>45.75</v>
          </cell>
          <cell r="M25">
            <v>44.25</v>
          </cell>
        </row>
        <row r="26">
          <cell r="C26">
            <v>55.5</v>
          </cell>
          <cell r="D26">
            <v>55</v>
          </cell>
          <cell r="J26">
            <v>286.75</v>
          </cell>
          <cell r="M26">
            <v>0.14000000000000001</v>
          </cell>
        </row>
        <row r="27">
          <cell r="C27">
            <v>6.25</v>
          </cell>
          <cell r="D27">
            <v>6.25</v>
          </cell>
          <cell r="M27">
            <v>1.575</v>
          </cell>
        </row>
        <row r="28">
          <cell r="D28">
            <v>0.31</v>
          </cell>
          <cell r="M28">
            <v>7.0000000000000007E-2</v>
          </cell>
        </row>
        <row r="29">
          <cell r="M29">
            <v>48.25</v>
          </cell>
        </row>
        <row r="30">
          <cell r="M30">
            <v>0.28000000000000003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2.85</v>
          </cell>
        </row>
        <row r="23">
          <cell r="J23">
            <v>3.42</v>
          </cell>
          <cell r="M23">
            <v>20.502000000000002</v>
          </cell>
        </row>
        <row r="24">
          <cell r="J24">
            <v>9.2519999999999989</v>
          </cell>
          <cell r="M24">
            <v>93.771000000000001</v>
          </cell>
        </row>
        <row r="25">
          <cell r="J25">
            <v>19.026</v>
          </cell>
          <cell r="M25">
            <v>34.965000000000003</v>
          </cell>
        </row>
        <row r="26">
          <cell r="J26">
            <v>173.142</v>
          </cell>
          <cell r="M26">
            <v>1.3859999999999999</v>
          </cell>
        </row>
        <row r="27">
          <cell r="M27">
            <v>24.858000000000001</v>
          </cell>
        </row>
        <row r="28">
          <cell r="M28">
            <v>1.9799999999999998E-2</v>
          </cell>
        </row>
        <row r="29">
          <cell r="M29">
            <v>0</v>
          </cell>
        </row>
        <row r="30">
          <cell r="M30">
            <v>3.9419999999999997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3">
          <cell r="J23">
            <v>3.2</v>
          </cell>
          <cell r="M23">
            <v>108</v>
          </cell>
        </row>
        <row r="24">
          <cell r="J24">
            <v>3.6</v>
          </cell>
          <cell r="M24">
            <v>85.4</v>
          </cell>
        </row>
        <row r="25">
          <cell r="C25">
            <v>38</v>
          </cell>
          <cell r="D25">
            <v>38</v>
          </cell>
          <cell r="J25">
            <v>19.2</v>
          </cell>
          <cell r="M25">
            <v>21.3</v>
          </cell>
        </row>
        <row r="26">
          <cell r="C26">
            <v>2.4</v>
          </cell>
          <cell r="D26">
            <v>2.4</v>
          </cell>
          <cell r="J26">
            <v>122</v>
          </cell>
          <cell r="M26">
            <v>0.57999999999999996</v>
          </cell>
        </row>
        <row r="27">
          <cell r="M27">
            <v>0.2</v>
          </cell>
        </row>
        <row r="28">
          <cell r="M28">
            <v>0.02</v>
          </cell>
        </row>
        <row r="29">
          <cell r="M29">
            <v>15.2</v>
          </cell>
        </row>
        <row r="30">
          <cell r="M30">
            <v>0.08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1.1399999999999999</v>
          </cell>
        </row>
        <row r="35">
          <cell r="J35">
            <v>1.9</v>
          </cell>
          <cell r="M35">
            <v>41</v>
          </cell>
        </row>
        <row r="36">
          <cell r="J36">
            <v>8.9</v>
          </cell>
          <cell r="M36">
            <v>37</v>
          </cell>
        </row>
        <row r="37">
          <cell r="J37">
            <v>7.7</v>
          </cell>
          <cell r="M37">
            <v>15</v>
          </cell>
        </row>
        <row r="38">
          <cell r="J38">
            <v>118</v>
          </cell>
          <cell r="M38">
            <v>0.7</v>
          </cell>
        </row>
        <row r="39">
          <cell r="M39">
            <v>7</v>
          </cell>
        </row>
        <row r="40">
          <cell r="M40">
            <v>0.02</v>
          </cell>
        </row>
        <row r="41">
          <cell r="M41">
            <v>0</v>
          </cell>
        </row>
        <row r="42">
          <cell r="M42">
            <v>3.1</v>
          </cell>
        </row>
      </sheetData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43">
          <cell r="J43">
            <v>13.339130434782609</v>
          </cell>
          <cell r="M43">
            <v>15.434782608695652</v>
          </cell>
        </row>
        <row r="44">
          <cell r="J44">
            <v>10.521739130434783</v>
          </cell>
          <cell r="M44">
            <v>155.08695652173913</v>
          </cell>
        </row>
        <row r="45">
          <cell r="J45">
            <v>30.869565217391305</v>
          </cell>
          <cell r="M45">
            <v>38.591304347826089</v>
          </cell>
        </row>
        <row r="46">
          <cell r="J46">
            <v>271.56521739130437</v>
          </cell>
          <cell r="M46">
            <v>1.4782608695652173</v>
          </cell>
        </row>
        <row r="47">
          <cell r="M47">
            <v>0.76521739130434785</v>
          </cell>
        </row>
        <row r="48">
          <cell r="M48">
            <v>4.1739130434782605E-2</v>
          </cell>
        </row>
        <row r="49">
          <cell r="M49">
            <v>0</v>
          </cell>
        </row>
        <row r="50">
          <cell r="M50">
            <v>2.1043478260869564</v>
          </cell>
        </row>
      </sheetData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2">
          <cell r="C12">
            <v>114.3</v>
          </cell>
        </row>
        <row r="29">
          <cell r="J29">
            <v>12.4</v>
          </cell>
          <cell r="M29">
            <v>107.80000000000001</v>
          </cell>
        </row>
        <row r="30">
          <cell r="C30">
            <v>127</v>
          </cell>
          <cell r="D30">
            <v>48</v>
          </cell>
          <cell r="J30">
            <v>9.4</v>
          </cell>
          <cell r="M30">
            <v>109.9</v>
          </cell>
        </row>
        <row r="31">
          <cell r="J31">
            <v>9.8000000000000007</v>
          </cell>
          <cell r="M31">
            <v>20.399999999999999</v>
          </cell>
        </row>
        <row r="32">
          <cell r="J32">
            <v>174</v>
          </cell>
          <cell r="M32">
            <v>1.0166666666666666</v>
          </cell>
        </row>
        <row r="33">
          <cell r="C33">
            <v>19</v>
          </cell>
          <cell r="D33">
            <v>19</v>
          </cell>
          <cell r="M33">
            <v>0.8</v>
          </cell>
        </row>
        <row r="34">
          <cell r="C34">
            <v>13</v>
          </cell>
          <cell r="D34">
            <v>13</v>
          </cell>
          <cell r="M34">
            <v>7.0000000000000007E-2</v>
          </cell>
        </row>
        <row r="35">
          <cell r="C35">
            <v>4.3</v>
          </cell>
          <cell r="D35">
            <v>4.0999999999999996</v>
          </cell>
          <cell r="M35">
            <v>66.7</v>
          </cell>
        </row>
        <row r="36">
          <cell r="C36">
            <v>2</v>
          </cell>
          <cell r="D36">
            <v>2</v>
          </cell>
          <cell r="M36">
            <v>0.5</v>
          </cell>
        </row>
        <row r="37">
          <cell r="C37">
            <v>1</v>
          </cell>
        </row>
        <row r="39">
          <cell r="C39">
            <v>40</v>
          </cell>
          <cell r="D39">
            <v>40</v>
          </cell>
        </row>
        <row r="40">
          <cell r="C40">
            <v>3.2</v>
          </cell>
          <cell r="D40">
            <v>3.2</v>
          </cell>
        </row>
        <row r="41">
          <cell r="C41">
            <v>3.2</v>
          </cell>
          <cell r="D41">
            <v>3.2</v>
          </cell>
        </row>
        <row r="42">
          <cell r="C42">
            <v>0.32</v>
          </cell>
        </row>
      </sheetData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3">
          <cell r="J23">
            <v>7.92</v>
          </cell>
        </row>
        <row r="35">
          <cell r="J35">
            <v>9.24</v>
          </cell>
          <cell r="M35">
            <v>121.38</v>
          </cell>
        </row>
        <row r="36">
          <cell r="C36">
            <v>100.8</v>
          </cell>
          <cell r="D36">
            <v>100.8</v>
          </cell>
          <cell r="J36">
            <v>7.98</v>
          </cell>
          <cell r="M36">
            <v>232.26</v>
          </cell>
        </row>
        <row r="37">
          <cell r="J37">
            <v>33.6</v>
          </cell>
          <cell r="M37">
            <v>115.71</v>
          </cell>
        </row>
        <row r="38">
          <cell r="C38">
            <v>52.5</v>
          </cell>
          <cell r="D38">
            <v>52.5</v>
          </cell>
          <cell r="J38">
            <v>243.18</v>
          </cell>
          <cell r="M38">
            <v>3.57</v>
          </cell>
        </row>
        <row r="39">
          <cell r="C39">
            <v>5.25</v>
          </cell>
          <cell r="D39">
            <v>5.25</v>
          </cell>
          <cell r="M39">
            <v>0.63</v>
          </cell>
        </row>
        <row r="40">
          <cell r="C40">
            <v>0.26039999999999996</v>
          </cell>
          <cell r="D40">
            <v>0.26039999999999996</v>
          </cell>
          <cell r="M40">
            <v>0.19739999999999996</v>
          </cell>
        </row>
        <row r="41">
          <cell r="M41">
            <v>40.11</v>
          </cell>
        </row>
        <row r="42">
          <cell r="M42">
            <v>0.46200000000000008</v>
          </cell>
        </row>
      </sheetData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12.918749999999999</v>
          </cell>
        </row>
        <row r="35">
          <cell r="J35">
            <v>17.225000000000001</v>
          </cell>
          <cell r="M35">
            <v>158.15</v>
          </cell>
        </row>
        <row r="36">
          <cell r="J36">
            <v>27.6875</v>
          </cell>
          <cell r="M36">
            <v>299.38749999999999</v>
          </cell>
        </row>
        <row r="37">
          <cell r="J37">
            <v>4.3125</v>
          </cell>
          <cell r="M37">
            <v>24.925000000000004</v>
          </cell>
        </row>
        <row r="38">
          <cell r="J38">
            <v>335.375</v>
          </cell>
          <cell r="M38">
            <v>3.2250000000000001</v>
          </cell>
        </row>
        <row r="39">
          <cell r="M39">
            <v>0.61250000000000004</v>
          </cell>
        </row>
        <row r="40">
          <cell r="M40">
            <v>8.7500000000000008E-2</v>
          </cell>
        </row>
        <row r="41">
          <cell r="M41">
            <v>347.38750000000005</v>
          </cell>
        </row>
        <row r="42">
          <cell r="M42">
            <v>0.92500000000000004</v>
          </cell>
        </row>
      </sheetData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0.18</v>
          </cell>
          <cell r="M11">
            <v>97.47</v>
          </cell>
        </row>
        <row r="12">
          <cell r="J12">
            <v>0.09</v>
          </cell>
          <cell r="M12">
            <v>68.849999999999994</v>
          </cell>
        </row>
        <row r="13">
          <cell r="J13">
            <v>8.370000000000001</v>
          </cell>
          <cell r="M13">
            <v>11.34</v>
          </cell>
        </row>
        <row r="14">
          <cell r="C14">
            <v>0.9</v>
          </cell>
          <cell r="D14">
            <v>0.9</v>
          </cell>
          <cell r="J14">
            <v>34.200000000000003</v>
          </cell>
          <cell r="M14">
            <v>0.10799999999999998</v>
          </cell>
        </row>
        <row r="15">
          <cell r="M15">
            <v>0.62999999999999989</v>
          </cell>
        </row>
        <row r="16">
          <cell r="C16">
            <v>9</v>
          </cell>
          <cell r="D16">
            <v>9</v>
          </cell>
          <cell r="M16">
            <v>2.6999999999999996E-2</v>
          </cell>
        </row>
        <row r="17">
          <cell r="M17">
            <v>17.100000000000001</v>
          </cell>
        </row>
      </sheetData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3">
          <cell r="J23">
            <v>0.2</v>
          </cell>
        </row>
        <row r="30">
          <cell r="M30">
            <v>0</v>
          </cell>
        </row>
      </sheetData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молоко кипяченое"/>
    </sheetNames>
    <sheetDataSet>
      <sheetData sheetId="0" refreshError="1">
        <row r="11">
          <cell r="C11">
            <v>200</v>
          </cell>
        </row>
        <row r="12">
          <cell r="E12">
            <v>6</v>
          </cell>
          <cell r="F12">
            <v>7</v>
          </cell>
          <cell r="G12">
            <v>9.4</v>
          </cell>
          <cell r="H12">
            <v>126</v>
          </cell>
          <cell r="I12">
            <v>1.2</v>
          </cell>
        </row>
        <row r="16">
          <cell r="D16">
            <v>0.04</v>
          </cell>
          <cell r="E16">
            <v>40</v>
          </cell>
          <cell r="F16">
            <v>0</v>
          </cell>
          <cell r="G16">
            <v>242</v>
          </cell>
          <cell r="H16">
            <v>28</v>
          </cell>
          <cell r="I16">
            <v>0.2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10.8</v>
          </cell>
        </row>
        <row r="27">
          <cell r="J27">
            <v>12</v>
          </cell>
          <cell r="M27">
            <v>45</v>
          </cell>
        </row>
        <row r="28">
          <cell r="C28">
            <v>91</v>
          </cell>
          <cell r="D28">
            <v>66</v>
          </cell>
          <cell r="J28">
            <v>2</v>
          </cell>
          <cell r="M28">
            <v>179</v>
          </cell>
        </row>
        <row r="29">
          <cell r="J29">
            <v>6</v>
          </cell>
          <cell r="M29">
            <v>28.999999999999996</v>
          </cell>
        </row>
        <row r="30">
          <cell r="J30">
            <v>90</v>
          </cell>
          <cell r="M30">
            <v>0.89000000000000012</v>
          </cell>
        </row>
        <row r="31">
          <cell r="C31">
            <v>26</v>
          </cell>
          <cell r="D31">
            <v>20.2</v>
          </cell>
          <cell r="M31">
            <v>0.7</v>
          </cell>
        </row>
        <row r="32">
          <cell r="C32">
            <v>13.799999999999999</v>
          </cell>
          <cell r="D32">
            <v>12</v>
          </cell>
          <cell r="M32">
            <v>0.08</v>
          </cell>
        </row>
        <row r="33">
          <cell r="C33">
            <v>10</v>
          </cell>
          <cell r="D33">
            <v>10</v>
          </cell>
          <cell r="M33">
            <v>39</v>
          </cell>
        </row>
        <row r="34">
          <cell r="C34">
            <v>10</v>
          </cell>
          <cell r="D34">
            <v>8.4</v>
          </cell>
          <cell r="M34">
            <v>1.3</v>
          </cell>
        </row>
        <row r="35">
          <cell r="C35">
            <v>8</v>
          </cell>
          <cell r="D35">
            <v>8</v>
          </cell>
        </row>
        <row r="36">
          <cell r="C36">
            <v>2</v>
          </cell>
          <cell r="D36">
            <v>2</v>
          </cell>
        </row>
        <row r="37">
          <cell r="D37">
            <v>1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10.8</v>
          </cell>
        </row>
        <row r="26">
          <cell r="J26">
            <v>13.2</v>
          </cell>
          <cell r="M26">
            <v>110</v>
          </cell>
        </row>
        <row r="27">
          <cell r="C27">
            <v>92.4</v>
          </cell>
          <cell r="D27">
            <v>69.3</v>
          </cell>
          <cell r="J27">
            <v>15.583333333333334</v>
          </cell>
          <cell r="M27">
            <v>134.19999999999999</v>
          </cell>
        </row>
        <row r="28">
          <cell r="J28">
            <v>2.2000000000000002</v>
          </cell>
          <cell r="M28">
            <v>19.8</v>
          </cell>
        </row>
        <row r="29">
          <cell r="C29">
            <v>7.7</v>
          </cell>
          <cell r="D29">
            <v>7.7</v>
          </cell>
          <cell r="J29">
            <v>200.2</v>
          </cell>
          <cell r="M29">
            <v>2.0570000000000004</v>
          </cell>
        </row>
        <row r="30">
          <cell r="C30">
            <v>5.5</v>
          </cell>
          <cell r="D30">
            <v>5.5</v>
          </cell>
          <cell r="M30">
            <v>0.33</v>
          </cell>
        </row>
        <row r="31">
          <cell r="C31">
            <v>5.5</v>
          </cell>
          <cell r="D31">
            <v>4.29</v>
          </cell>
          <cell r="M31">
            <v>3.2999999999999995E-2</v>
          </cell>
        </row>
        <row r="32">
          <cell r="C32">
            <v>5.5</v>
          </cell>
          <cell r="D32">
            <v>4.62</v>
          </cell>
          <cell r="M32">
            <v>0</v>
          </cell>
        </row>
        <row r="33">
          <cell r="C33">
            <v>2.2000000000000002</v>
          </cell>
          <cell r="D33">
            <v>2.2000000000000002</v>
          </cell>
          <cell r="M33">
            <v>2.75</v>
          </cell>
        </row>
        <row r="34">
          <cell r="C34">
            <v>0.44</v>
          </cell>
        </row>
      </sheetData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5">
          <cell r="J35">
            <v>4.2</v>
          </cell>
          <cell r="M35">
            <v>51</v>
          </cell>
        </row>
        <row r="36">
          <cell r="C36">
            <v>232</v>
          </cell>
          <cell r="D36">
            <v>174</v>
          </cell>
          <cell r="J36">
            <v>8</v>
          </cell>
          <cell r="M36">
            <v>103</v>
          </cell>
        </row>
        <row r="37">
          <cell r="C37">
            <v>30</v>
          </cell>
          <cell r="D37">
            <v>30</v>
          </cell>
          <cell r="J37">
            <v>12.2</v>
          </cell>
          <cell r="M37">
            <v>32.799999999999997</v>
          </cell>
        </row>
        <row r="38">
          <cell r="C38">
            <v>9</v>
          </cell>
          <cell r="D38">
            <v>9</v>
          </cell>
          <cell r="J38">
            <v>136</v>
          </cell>
          <cell r="M38">
            <v>1.1599999999999999</v>
          </cell>
        </row>
        <row r="39">
          <cell r="C39">
            <v>0.8</v>
          </cell>
          <cell r="M39">
            <v>5</v>
          </cell>
        </row>
        <row r="40">
          <cell r="M40">
            <v>0.16</v>
          </cell>
        </row>
        <row r="41">
          <cell r="M41">
            <v>39.799999999999997</v>
          </cell>
        </row>
        <row r="42">
          <cell r="M42">
            <v>0.2</v>
          </cell>
        </row>
      </sheetData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3">
          <cell r="J23">
            <v>11.07</v>
          </cell>
        </row>
        <row r="35">
          <cell r="J35">
            <v>12.3</v>
          </cell>
          <cell r="M35">
            <v>227.5</v>
          </cell>
        </row>
        <row r="36">
          <cell r="J36">
            <v>10</v>
          </cell>
          <cell r="M36">
            <v>181.1</v>
          </cell>
        </row>
        <row r="37">
          <cell r="J37">
            <v>35.9</v>
          </cell>
          <cell r="M37">
            <v>22.4</v>
          </cell>
        </row>
        <row r="38">
          <cell r="J38">
            <v>283</v>
          </cell>
          <cell r="M38">
            <v>1.448</v>
          </cell>
        </row>
        <row r="39">
          <cell r="M39">
            <v>0.2</v>
          </cell>
        </row>
        <row r="40">
          <cell r="M40">
            <v>7.0000000000000007E-2</v>
          </cell>
        </row>
        <row r="41">
          <cell r="M41">
            <v>73.900000000000006</v>
          </cell>
        </row>
        <row r="42">
          <cell r="M42">
            <v>1.1000000000000001</v>
          </cell>
        </row>
      </sheetData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3.19</v>
          </cell>
          <cell r="M11">
            <v>132.44</v>
          </cell>
        </row>
        <row r="12">
          <cell r="J12">
            <v>2.75</v>
          </cell>
          <cell r="M12">
            <v>99.33</v>
          </cell>
        </row>
        <row r="13">
          <cell r="J13">
            <v>4.4000000000000004</v>
          </cell>
          <cell r="M13">
            <v>15.455</v>
          </cell>
        </row>
        <row r="14">
          <cell r="J14">
            <v>55.55</v>
          </cell>
          <cell r="M14">
            <v>0.11</v>
          </cell>
        </row>
        <row r="15">
          <cell r="M15">
            <v>0.77</v>
          </cell>
        </row>
        <row r="16">
          <cell r="M16">
            <v>4.4000000000000004E-2</v>
          </cell>
        </row>
        <row r="17">
          <cell r="M17">
            <v>22.055</v>
          </cell>
        </row>
        <row r="18">
          <cell r="M18">
            <v>0</v>
          </cell>
        </row>
      </sheetData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11.7</v>
          </cell>
        </row>
        <row r="24">
          <cell r="J24">
            <v>13</v>
          </cell>
          <cell r="M24">
            <v>12</v>
          </cell>
        </row>
        <row r="25">
          <cell r="J25">
            <v>10</v>
          </cell>
          <cell r="M25">
            <v>108</v>
          </cell>
        </row>
        <row r="26">
          <cell r="C26">
            <v>75</v>
          </cell>
          <cell r="D26">
            <v>70</v>
          </cell>
          <cell r="J26">
            <v>7</v>
          </cell>
          <cell r="M26">
            <v>15</v>
          </cell>
        </row>
        <row r="27">
          <cell r="C27">
            <v>39</v>
          </cell>
          <cell r="D27">
            <v>16</v>
          </cell>
          <cell r="J27">
            <v>170</v>
          </cell>
          <cell r="M27">
            <v>1.7800000000000002</v>
          </cell>
        </row>
        <row r="28">
          <cell r="M28">
            <v>0</v>
          </cell>
        </row>
        <row r="29">
          <cell r="C29">
            <v>14</v>
          </cell>
          <cell r="D29">
            <v>14</v>
          </cell>
          <cell r="M29">
            <v>7.0000000000000007E-2</v>
          </cell>
        </row>
        <row r="30">
          <cell r="C30">
            <v>0.4</v>
          </cell>
          <cell r="D30">
            <v>0.4</v>
          </cell>
          <cell r="M30">
            <v>0</v>
          </cell>
        </row>
        <row r="31">
          <cell r="M31">
            <v>1.35</v>
          </cell>
        </row>
      </sheetData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3.516</v>
          </cell>
        </row>
        <row r="43">
          <cell r="J43">
            <v>4.6879999999999997</v>
          </cell>
          <cell r="M43">
            <v>18.536000000000001</v>
          </cell>
        </row>
        <row r="44">
          <cell r="J44">
            <v>4.2</v>
          </cell>
          <cell r="M44">
            <v>107.32</v>
          </cell>
        </row>
        <row r="45">
          <cell r="C45">
            <v>62.720000000000006</v>
          </cell>
          <cell r="D45">
            <v>61.44</v>
          </cell>
          <cell r="J45">
            <v>45.951999999999998</v>
          </cell>
          <cell r="M45">
            <v>39.024000000000001</v>
          </cell>
        </row>
        <row r="46">
          <cell r="J46">
            <v>240</v>
          </cell>
          <cell r="M46">
            <v>0.24</v>
          </cell>
        </row>
        <row r="47">
          <cell r="M47">
            <v>0.56000000000000005</v>
          </cell>
        </row>
        <row r="48">
          <cell r="M48">
            <v>4.8000000000000001E-2</v>
          </cell>
        </row>
        <row r="49">
          <cell r="M49">
            <v>18.536000000000001</v>
          </cell>
        </row>
        <row r="50">
          <cell r="M50">
            <v>0.39200000000000002</v>
          </cell>
        </row>
        <row r="51">
          <cell r="C51">
            <v>29.263999999999999</v>
          </cell>
          <cell r="D51">
            <v>22.44</v>
          </cell>
        </row>
        <row r="52">
          <cell r="C52">
            <v>3.8959999999999999</v>
          </cell>
          <cell r="D52">
            <v>2.9279999999999999</v>
          </cell>
        </row>
        <row r="53">
          <cell r="C53">
            <v>1.44</v>
          </cell>
          <cell r="D53">
            <v>1.44</v>
          </cell>
        </row>
        <row r="54">
          <cell r="C54">
            <v>4.88</v>
          </cell>
          <cell r="D54">
            <v>4.88</v>
          </cell>
        </row>
      </sheetData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2.88</v>
          </cell>
          <cell r="M11">
            <v>97.2</v>
          </cell>
        </row>
        <row r="12">
          <cell r="J12">
            <v>3.24</v>
          </cell>
          <cell r="M12">
            <v>76.860000000000014</v>
          </cell>
        </row>
        <row r="13">
          <cell r="C13">
            <v>34.200000000000003</v>
          </cell>
          <cell r="D13">
            <v>34.200000000000003</v>
          </cell>
          <cell r="J13">
            <v>17.28</v>
          </cell>
          <cell r="M13">
            <v>19.170000000000002</v>
          </cell>
        </row>
        <row r="14">
          <cell r="C14">
            <v>2.16</v>
          </cell>
          <cell r="D14">
            <v>2.16</v>
          </cell>
          <cell r="J14">
            <v>109.8</v>
          </cell>
          <cell r="M14">
            <v>0.52199999999999991</v>
          </cell>
        </row>
        <row r="15">
          <cell r="M15">
            <v>0.18</v>
          </cell>
        </row>
        <row r="16">
          <cell r="M16">
            <v>1.8000000000000002E-2</v>
          </cell>
        </row>
        <row r="17">
          <cell r="M17">
            <v>13.68</v>
          </cell>
        </row>
        <row r="18">
          <cell r="M18">
            <v>7.2000000000000008E-2</v>
          </cell>
        </row>
      </sheetData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21.375</v>
          </cell>
        </row>
        <row r="23">
          <cell r="J23">
            <v>23.75</v>
          </cell>
          <cell r="M23">
            <v>36.25</v>
          </cell>
        </row>
        <row r="24">
          <cell r="C24">
            <v>260</v>
          </cell>
          <cell r="J24">
            <v>17.5</v>
          </cell>
          <cell r="M24">
            <v>163.75</v>
          </cell>
        </row>
        <row r="25">
          <cell r="D25">
            <v>103.75</v>
          </cell>
          <cell r="J25">
            <v>0</v>
          </cell>
          <cell r="M25">
            <v>20</v>
          </cell>
        </row>
        <row r="26">
          <cell r="J26">
            <v>252.5</v>
          </cell>
          <cell r="M26">
            <v>1.7</v>
          </cell>
        </row>
        <row r="27">
          <cell r="C27">
            <v>3.75</v>
          </cell>
          <cell r="D27">
            <v>3.125</v>
          </cell>
          <cell r="M27">
            <v>1.5</v>
          </cell>
        </row>
        <row r="28">
          <cell r="C28">
            <v>0.3125</v>
          </cell>
          <cell r="D28">
            <v>0.3125</v>
          </cell>
          <cell r="M28">
            <v>3.7499999999999999E-2</v>
          </cell>
        </row>
        <row r="29">
          <cell r="M29">
            <v>40</v>
          </cell>
        </row>
        <row r="30">
          <cell r="M30">
            <v>0</v>
          </cell>
        </row>
      </sheetData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3.15</v>
          </cell>
        </row>
        <row r="23">
          <cell r="J23">
            <v>3.78</v>
          </cell>
          <cell r="M23">
            <v>45.9</v>
          </cell>
        </row>
        <row r="24">
          <cell r="C24">
            <v>208.8</v>
          </cell>
          <cell r="D24">
            <v>156.6</v>
          </cell>
          <cell r="J24">
            <v>7.2</v>
          </cell>
          <cell r="M24">
            <v>92.7</v>
          </cell>
        </row>
        <row r="25">
          <cell r="C25">
            <v>27</v>
          </cell>
          <cell r="D25">
            <v>27</v>
          </cell>
          <cell r="J25">
            <v>10.98</v>
          </cell>
          <cell r="M25">
            <v>29.519999999999996</v>
          </cell>
        </row>
        <row r="26">
          <cell r="C26">
            <v>8.1</v>
          </cell>
          <cell r="D26">
            <v>8.1</v>
          </cell>
          <cell r="J26">
            <v>122.4</v>
          </cell>
          <cell r="M26">
            <v>1.0439999999999998</v>
          </cell>
        </row>
        <row r="27">
          <cell r="C27">
            <v>0.72</v>
          </cell>
          <cell r="D27">
            <v>0.72</v>
          </cell>
          <cell r="M27">
            <v>4.5</v>
          </cell>
        </row>
        <row r="28">
          <cell r="M28">
            <v>0.14400000000000002</v>
          </cell>
        </row>
        <row r="29">
          <cell r="M29">
            <v>35.819999999999993</v>
          </cell>
        </row>
        <row r="30">
          <cell r="M30">
            <v>0.18</v>
          </cell>
        </row>
      </sheetData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3">
          <cell r="D13">
            <v>140.00249999999997</v>
          </cell>
        </row>
        <row r="28">
          <cell r="C28">
            <v>188</v>
          </cell>
          <cell r="D28">
            <v>186.67</v>
          </cell>
        </row>
        <row r="30">
          <cell r="C30">
            <v>52</v>
          </cell>
          <cell r="D30">
            <v>52</v>
          </cell>
        </row>
        <row r="31">
          <cell r="C31">
            <v>13.33</v>
          </cell>
          <cell r="D31">
            <v>13.33</v>
          </cell>
        </row>
        <row r="32">
          <cell r="C32">
            <v>13.33</v>
          </cell>
          <cell r="D32">
            <v>13.33</v>
          </cell>
        </row>
        <row r="33">
          <cell r="C33">
            <v>6.67</v>
          </cell>
          <cell r="D33">
            <v>6.67</v>
          </cell>
        </row>
        <row r="35">
          <cell r="C35">
            <v>6.13</v>
          </cell>
          <cell r="D35">
            <v>5.33</v>
          </cell>
        </row>
        <row r="36">
          <cell r="C36">
            <v>2.67</v>
          </cell>
          <cell r="D36">
            <v>2.67</v>
          </cell>
        </row>
        <row r="37">
          <cell r="C37">
            <v>2</v>
          </cell>
          <cell r="D37">
            <v>2</v>
          </cell>
        </row>
        <row r="38">
          <cell r="C38">
            <v>0.02</v>
          </cell>
          <cell r="D38">
            <v>0.02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2.34</v>
          </cell>
          <cell r="M11">
            <v>94.5</v>
          </cell>
        </row>
        <row r="12">
          <cell r="J12">
            <v>2.88</v>
          </cell>
          <cell r="M12">
            <v>63.63</v>
          </cell>
        </row>
        <row r="13">
          <cell r="C13">
            <v>34.200000000000003</v>
          </cell>
          <cell r="D13">
            <v>34.200000000000003</v>
          </cell>
          <cell r="J13">
            <v>17.100000000000001</v>
          </cell>
          <cell r="M13">
            <v>10.44</v>
          </cell>
        </row>
        <row r="14">
          <cell r="C14">
            <v>2.16</v>
          </cell>
          <cell r="D14">
            <v>2.16</v>
          </cell>
          <cell r="J14">
            <v>103.5</v>
          </cell>
          <cell r="M14">
            <v>6.3E-2</v>
          </cell>
        </row>
        <row r="15">
          <cell r="M15">
            <v>0.18</v>
          </cell>
        </row>
        <row r="16">
          <cell r="M16">
            <v>1.8000000000000002E-2</v>
          </cell>
        </row>
        <row r="17">
          <cell r="M17">
            <v>13.68</v>
          </cell>
        </row>
        <row r="18">
          <cell r="M18">
            <v>7.2000000000000008E-2</v>
          </cell>
        </row>
        <row r="23">
          <cell r="J23">
            <v>2.6</v>
          </cell>
          <cell r="M23">
            <v>105</v>
          </cell>
        </row>
        <row r="24">
          <cell r="J24">
            <v>3.2</v>
          </cell>
          <cell r="M24">
            <v>70.7</v>
          </cell>
        </row>
        <row r="25">
          <cell r="C25">
            <v>38</v>
          </cell>
          <cell r="D25">
            <v>38</v>
          </cell>
          <cell r="J25">
            <v>19</v>
          </cell>
          <cell r="M25">
            <v>11.6</v>
          </cell>
        </row>
        <row r="26">
          <cell r="C26">
            <v>2.4</v>
          </cell>
          <cell r="D26">
            <v>2.4</v>
          </cell>
          <cell r="J26">
            <v>115</v>
          </cell>
          <cell r="M26">
            <v>7.0000000000000007E-2</v>
          </cell>
        </row>
        <row r="27">
          <cell r="M27">
            <v>0.2</v>
          </cell>
        </row>
        <row r="28">
          <cell r="M28">
            <v>0.02</v>
          </cell>
        </row>
        <row r="29">
          <cell r="M29">
            <v>15.2</v>
          </cell>
        </row>
        <row r="30">
          <cell r="M30">
            <v>0.08</v>
          </cell>
        </row>
      </sheetData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10.004347826086956</v>
          </cell>
        </row>
        <row r="44">
          <cell r="C44">
            <v>84.208695652173915</v>
          </cell>
          <cell r="D44">
            <v>61.756521739130434</v>
          </cell>
        </row>
        <row r="46">
          <cell r="C46">
            <v>48.434782608695649</v>
          </cell>
          <cell r="D46">
            <v>47.713043478260872</v>
          </cell>
        </row>
        <row r="48">
          <cell r="C48">
            <v>21.739130434782609</v>
          </cell>
          <cell r="D48">
            <v>15.434782608695652</v>
          </cell>
        </row>
        <row r="49">
          <cell r="C49">
            <v>8.4347826086956506</v>
          </cell>
          <cell r="D49">
            <v>3.5130434782608697</v>
          </cell>
        </row>
        <row r="50">
          <cell r="C50">
            <v>7.017391304347826</v>
          </cell>
          <cell r="D50">
            <v>4.2434782608695656</v>
          </cell>
        </row>
        <row r="51">
          <cell r="C51">
            <v>7.017391304347826</v>
          </cell>
          <cell r="D51">
            <v>7.017391304347826</v>
          </cell>
        </row>
        <row r="52">
          <cell r="C52">
            <v>0.69565217391304346</v>
          </cell>
          <cell r="D52">
            <v>0.69565217391304346</v>
          </cell>
        </row>
      </sheetData>
      <sheetData sheetId="1"/>
      <sheetData sheetId="2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4">
          <cell r="C24">
            <v>55.8</v>
          </cell>
        </row>
        <row r="36">
          <cell r="C36">
            <v>62</v>
          </cell>
          <cell r="D36">
            <v>62</v>
          </cell>
        </row>
        <row r="37">
          <cell r="C37">
            <v>22</v>
          </cell>
          <cell r="D37">
            <v>21.1</v>
          </cell>
        </row>
        <row r="38">
          <cell r="C38">
            <v>5</v>
          </cell>
          <cell r="D38">
            <v>5</v>
          </cell>
        </row>
        <row r="39">
          <cell r="C39">
            <v>3.2</v>
          </cell>
          <cell r="D39">
            <v>3.2</v>
          </cell>
        </row>
      </sheetData>
      <sheetData sheetId="1" refreshError="1"/>
      <sheetData sheetId="2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8">
          <cell r="C28">
            <v>117.33333333333334</v>
          </cell>
        </row>
        <row r="44">
          <cell r="C44">
            <v>140.80000000000001</v>
          </cell>
          <cell r="D44">
            <v>102.4</v>
          </cell>
        </row>
        <row r="47">
          <cell r="C47">
            <v>24</v>
          </cell>
          <cell r="D47">
            <v>20.16</v>
          </cell>
        </row>
        <row r="49">
          <cell r="D49">
            <v>9.6</v>
          </cell>
        </row>
        <row r="50">
          <cell r="C50">
            <v>5.6</v>
          </cell>
          <cell r="D50">
            <v>4.8</v>
          </cell>
        </row>
        <row r="51">
          <cell r="C51">
            <v>4.8</v>
          </cell>
          <cell r="D51">
            <v>3.84</v>
          </cell>
        </row>
        <row r="52">
          <cell r="C52">
            <v>3.2</v>
          </cell>
          <cell r="D52">
            <v>3.2</v>
          </cell>
        </row>
      </sheetData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6">
          <cell r="C16">
            <v>114</v>
          </cell>
          <cell r="D16">
            <v>100</v>
          </cell>
        </row>
      </sheetData>
      <sheetData sheetId="1"/>
      <sheetData sheetId="2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6">
          <cell r="C16">
            <v>114</v>
          </cell>
          <cell r="D16">
            <v>100</v>
          </cell>
        </row>
      </sheetData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2">
          <cell r="C12">
            <v>106.153125</v>
          </cell>
        </row>
        <row r="36">
          <cell r="C36">
            <v>141.53749999999999</v>
          </cell>
          <cell r="D36">
            <v>123.075</v>
          </cell>
        </row>
        <row r="37">
          <cell r="C37">
            <v>76.924999999999997</v>
          </cell>
          <cell r="D37">
            <v>76.924999999999997</v>
          </cell>
        </row>
        <row r="38">
          <cell r="C38">
            <v>3.125</v>
          </cell>
          <cell r="D38">
            <v>3.125</v>
          </cell>
        </row>
        <row r="39">
          <cell r="C39">
            <v>0.92500000000000004</v>
          </cell>
          <cell r="D39">
            <v>0.92500000000000004</v>
          </cell>
        </row>
        <row r="41">
          <cell r="C41">
            <v>6.25</v>
          </cell>
          <cell r="D41">
            <v>6.25</v>
          </cell>
        </row>
      </sheetData>
      <sheetData sheetId="1" refreshError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">
          <cell r="C25">
            <v>38</v>
          </cell>
        </row>
        <row r="26">
          <cell r="C26">
            <v>2.4</v>
          </cell>
        </row>
      </sheetData>
      <sheetData sheetId="1" refreshError="1"/>
      <sheetData sheetId="2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">
          <cell r="C14">
            <v>117.15</v>
          </cell>
          <cell r="D14">
            <v>110</v>
          </cell>
        </row>
      </sheetData>
      <sheetData sheetId="1" refreshError="1"/>
      <sheetData sheetId="2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5">
          <cell r="J35">
            <v>5.2</v>
          </cell>
        </row>
        <row r="53">
          <cell r="C53">
            <v>6.25</v>
          </cell>
          <cell r="D53">
            <v>6.25</v>
          </cell>
        </row>
      </sheetData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6">
          <cell r="C26">
            <v>1</v>
          </cell>
        </row>
        <row r="28">
          <cell r="C28">
            <v>10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31.5975</v>
          </cell>
        </row>
        <row r="27">
          <cell r="J27">
            <v>42.13</v>
          </cell>
          <cell r="M27">
            <v>366.93</v>
          </cell>
        </row>
        <row r="28">
          <cell r="J28">
            <v>12.27</v>
          </cell>
          <cell r="M28">
            <v>462.27</v>
          </cell>
        </row>
        <row r="29">
          <cell r="J29">
            <v>33.729999999999997</v>
          </cell>
          <cell r="M29">
            <v>51.2</v>
          </cell>
        </row>
        <row r="30">
          <cell r="J30">
            <v>413.33</v>
          </cell>
          <cell r="M30">
            <v>1.48</v>
          </cell>
        </row>
        <row r="31">
          <cell r="M31">
            <v>0.8</v>
          </cell>
        </row>
        <row r="32">
          <cell r="M32">
            <v>0.16</v>
          </cell>
        </row>
        <row r="33">
          <cell r="M33">
            <v>86</v>
          </cell>
        </row>
        <row r="34">
          <cell r="M34">
            <v>0.4</v>
          </cell>
        </row>
      </sheetData>
      <sheetData sheetId="1" refreshError="1"/>
      <sheetData sheetId="2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6">
          <cell r="C26">
            <v>1</v>
          </cell>
        </row>
        <row r="28">
          <cell r="C28">
            <v>10</v>
          </cell>
        </row>
      </sheetData>
      <sheetData sheetId="1"/>
      <sheetData sheetId="2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">
          <cell r="C27">
            <v>0.2</v>
          </cell>
        </row>
        <row r="39">
          <cell r="C39">
            <v>0.25</v>
          </cell>
          <cell r="D39">
            <v>0.25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1.4400000000000002</v>
          </cell>
          <cell r="M11">
            <v>61.4</v>
          </cell>
        </row>
        <row r="12">
          <cell r="J12">
            <v>1.7</v>
          </cell>
          <cell r="M12">
            <v>43.8</v>
          </cell>
        </row>
        <row r="13">
          <cell r="J13">
            <v>11.1</v>
          </cell>
          <cell r="M13">
            <v>6.8</v>
          </cell>
        </row>
        <row r="14">
          <cell r="J14">
            <v>68.733333333333334</v>
          </cell>
          <cell r="M14">
            <v>0.04</v>
          </cell>
        </row>
        <row r="15">
          <cell r="M15">
            <v>0.2</v>
          </cell>
        </row>
        <row r="16">
          <cell r="M16">
            <v>1.2E-2</v>
          </cell>
        </row>
        <row r="17">
          <cell r="M17">
            <v>8.4</v>
          </cell>
        </row>
        <row r="18">
          <cell r="M18">
            <v>0.04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3">
          <cell r="J23">
            <v>0.2</v>
          </cell>
          <cell r="M23">
            <v>108.3</v>
          </cell>
        </row>
        <row r="24">
          <cell r="J24">
            <v>0.1</v>
          </cell>
          <cell r="M24">
            <v>76.5</v>
          </cell>
        </row>
        <row r="25">
          <cell r="J25">
            <v>9.3000000000000007</v>
          </cell>
          <cell r="M25">
            <v>12.6</v>
          </cell>
        </row>
        <row r="26">
          <cell r="C26">
            <v>1</v>
          </cell>
          <cell r="D26">
            <v>1</v>
          </cell>
          <cell r="J26">
            <v>38</v>
          </cell>
        </row>
        <row r="27">
          <cell r="M27">
            <v>0.7</v>
          </cell>
        </row>
        <row r="28">
          <cell r="C28">
            <v>10</v>
          </cell>
          <cell r="D28">
            <v>10</v>
          </cell>
          <cell r="M28">
            <v>0.03</v>
          </cell>
        </row>
        <row r="29">
          <cell r="M29">
            <v>19</v>
          </cell>
        </row>
        <row r="30">
          <cell r="M30">
            <v>0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0.4</v>
          </cell>
          <cell r="M11">
            <v>16.100000000000001</v>
          </cell>
        </row>
        <row r="12">
          <cell r="J12">
            <v>0.4</v>
          </cell>
          <cell r="M12">
            <v>11</v>
          </cell>
        </row>
        <row r="13">
          <cell r="J13">
            <v>9.8000000000000007</v>
          </cell>
          <cell r="M13">
            <v>9</v>
          </cell>
        </row>
        <row r="14">
          <cell r="J14">
            <v>44</v>
          </cell>
          <cell r="M14">
            <v>2.21</v>
          </cell>
        </row>
        <row r="15">
          <cell r="M15">
            <v>7</v>
          </cell>
        </row>
        <row r="16">
          <cell r="M16">
            <v>0.03</v>
          </cell>
        </row>
        <row r="17">
          <cell r="M17">
            <v>0</v>
          </cell>
        </row>
        <row r="18">
          <cell r="M18">
            <v>0.2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5">
          <cell r="C15">
            <v>85.8</v>
          </cell>
        </row>
        <row r="35">
          <cell r="J35">
            <v>0.8</v>
          </cell>
          <cell r="M35">
            <v>23.2</v>
          </cell>
        </row>
        <row r="36">
          <cell r="J36">
            <v>0.1</v>
          </cell>
          <cell r="M36">
            <v>24.2</v>
          </cell>
        </row>
        <row r="37">
          <cell r="J37">
            <v>1.7</v>
          </cell>
          <cell r="M37">
            <v>14.1</v>
          </cell>
        </row>
        <row r="38">
          <cell r="J38">
            <v>11</v>
          </cell>
          <cell r="M38">
            <v>0.6</v>
          </cell>
        </row>
        <row r="39">
          <cell r="C39">
            <v>143</v>
          </cell>
          <cell r="D39">
            <v>100</v>
          </cell>
          <cell r="M39">
            <v>2.5</v>
          </cell>
        </row>
        <row r="40">
          <cell r="M40">
            <v>0.02</v>
          </cell>
        </row>
        <row r="41">
          <cell r="M41">
            <v>0</v>
          </cell>
        </row>
        <row r="42">
          <cell r="M42">
            <v>0.1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2">
          <cell r="C12">
            <v>105.60000000000001</v>
          </cell>
        </row>
        <row r="43">
          <cell r="J43">
            <v>17.600000000000001</v>
          </cell>
          <cell r="M43">
            <v>80</v>
          </cell>
        </row>
        <row r="44">
          <cell r="J44">
            <v>3.2</v>
          </cell>
          <cell r="M44">
            <v>254.4</v>
          </cell>
        </row>
        <row r="45">
          <cell r="J45">
            <v>12.8</v>
          </cell>
          <cell r="M45">
            <v>43.2</v>
          </cell>
        </row>
        <row r="46">
          <cell r="J46">
            <v>150.4</v>
          </cell>
          <cell r="M46">
            <v>1.52</v>
          </cell>
        </row>
        <row r="47">
          <cell r="M47">
            <v>3.52</v>
          </cell>
        </row>
        <row r="48">
          <cell r="M48">
            <v>0.20799999999999999</v>
          </cell>
        </row>
        <row r="49">
          <cell r="M49">
            <v>24</v>
          </cell>
        </row>
        <row r="50">
          <cell r="M50">
            <v>1.76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5"/>
  <sheetViews>
    <sheetView workbookViewId="0">
      <selection sqref="A1:Q15"/>
    </sheetView>
  </sheetViews>
  <sheetFormatPr defaultRowHeight="12.75"/>
  <cols>
    <col min="1" max="1" width="6.28515625" style="9" customWidth="1"/>
    <col min="2" max="2" width="5" style="9" bestFit="1" customWidth="1"/>
    <col min="3" max="3" width="35.5703125" style="9" customWidth="1"/>
    <col min="4" max="4" width="4.42578125" style="9" customWidth="1"/>
    <col min="5" max="6" width="5.42578125" style="9" bestFit="1" customWidth="1"/>
    <col min="7" max="7" width="6.42578125" style="9" bestFit="1" customWidth="1"/>
    <col min="8" max="8" width="7.42578125" style="9" bestFit="1" customWidth="1"/>
    <col min="9" max="10" width="4.42578125" style="9" bestFit="1" customWidth="1"/>
    <col min="11" max="11" width="6.42578125" style="9" bestFit="1" customWidth="1"/>
    <col min="12" max="12" width="4.42578125" style="9" bestFit="1" customWidth="1"/>
    <col min="13" max="14" width="6.42578125" style="9" bestFit="1" customWidth="1"/>
    <col min="15" max="15" width="5.42578125" style="9" bestFit="1" customWidth="1"/>
    <col min="16" max="16" width="4.42578125" style="9" bestFit="1" customWidth="1"/>
    <col min="17" max="17" width="39.28515625" bestFit="1" customWidth="1"/>
  </cols>
  <sheetData>
    <row r="1" spans="1:30" s="1" customFormat="1">
      <c r="A1" s="202" t="s">
        <v>125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</row>
    <row r="2" spans="1:30">
      <c r="A2" s="9" t="s">
        <v>75</v>
      </c>
    </row>
    <row r="3" spans="1:30" s="9" customFormat="1" ht="13.5" thickBot="1"/>
    <row r="4" spans="1:30" s="8" customFormat="1" ht="12.75" customHeight="1">
      <c r="A4" s="205" t="s">
        <v>105</v>
      </c>
      <c r="B4" s="207" t="s">
        <v>106</v>
      </c>
      <c r="C4" s="209" t="s">
        <v>107</v>
      </c>
      <c r="D4" s="207" t="s">
        <v>108</v>
      </c>
      <c r="E4" s="207" t="s">
        <v>110</v>
      </c>
      <c r="F4" s="207" t="s">
        <v>111</v>
      </c>
      <c r="G4" s="207" t="s">
        <v>112</v>
      </c>
      <c r="H4" s="207" t="s">
        <v>109</v>
      </c>
      <c r="I4" s="211" t="s">
        <v>0</v>
      </c>
      <c r="J4" s="212"/>
      <c r="K4" s="212"/>
      <c r="L4" s="213"/>
      <c r="M4" s="211" t="s">
        <v>5</v>
      </c>
      <c r="N4" s="212"/>
      <c r="O4" s="212"/>
      <c r="P4" s="213"/>
      <c r="Q4" s="203" t="s">
        <v>83</v>
      </c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1:30" s="8" customFormat="1" ht="13.5" thickBot="1">
      <c r="A5" s="206"/>
      <c r="B5" s="208"/>
      <c r="C5" s="210"/>
      <c r="D5" s="208"/>
      <c r="E5" s="208"/>
      <c r="F5" s="208"/>
      <c r="G5" s="208"/>
      <c r="H5" s="208"/>
      <c r="I5" s="85" t="s">
        <v>1</v>
      </c>
      <c r="J5" s="85" t="s">
        <v>2</v>
      </c>
      <c r="K5" s="85" t="s">
        <v>3</v>
      </c>
      <c r="L5" s="85" t="s">
        <v>4</v>
      </c>
      <c r="M5" s="86" t="s">
        <v>6</v>
      </c>
      <c r="N5" s="85" t="s">
        <v>7</v>
      </c>
      <c r="O5" s="85" t="s">
        <v>8</v>
      </c>
      <c r="P5" s="85" t="s">
        <v>9</v>
      </c>
      <c r="Q5" s="20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1:30" ht="22.5">
      <c r="A6" s="100" t="s">
        <v>80</v>
      </c>
      <c r="B6" s="39">
        <v>217</v>
      </c>
      <c r="C6" s="40" t="s">
        <v>179</v>
      </c>
      <c r="D6" s="41">
        <v>250</v>
      </c>
      <c r="E6" s="42">
        <f>[1]Лист1!$J$23</f>
        <v>7.375</v>
      </c>
      <c r="F6" s="42">
        <f>[1]Лист1!$J$24</f>
        <v>8.25</v>
      </c>
      <c r="G6" s="42">
        <f>[1]Лист1!$J$25</f>
        <v>45.75</v>
      </c>
      <c r="H6" s="42">
        <f>[1]Лист1!$J$26</f>
        <v>286.75</v>
      </c>
      <c r="I6" s="31">
        <f>[1]Лист1!$M$28</f>
        <v>7.0000000000000007E-2</v>
      </c>
      <c r="J6" s="31">
        <f>[1]Лист1!$M$27</f>
        <v>1.575</v>
      </c>
      <c r="K6" s="31">
        <f>[1]Лист1!$M$29</f>
        <v>48.25</v>
      </c>
      <c r="L6" s="31">
        <f>[1]Лист1!$M$30</f>
        <v>0.28000000000000003</v>
      </c>
      <c r="M6" s="31">
        <f>[1]Лист1!$M$23</f>
        <v>152.25</v>
      </c>
      <c r="N6" s="31">
        <f>[1]Лист1!$M$24</f>
        <v>192.5</v>
      </c>
      <c r="O6" s="31">
        <f>[1]Лист1!$M$25</f>
        <v>44.25</v>
      </c>
      <c r="P6" s="31">
        <f>[1]Лист1!$M$26</f>
        <v>0.14000000000000001</v>
      </c>
      <c r="Q6" s="254" t="s">
        <v>180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2.5">
      <c r="A7" s="55"/>
      <c r="B7" s="38">
        <v>308</v>
      </c>
      <c r="C7" s="32" t="s">
        <v>178</v>
      </c>
      <c r="D7" s="33">
        <v>100</v>
      </c>
      <c r="E7" s="34">
        <f>[2]Лист1!$J$27</f>
        <v>12</v>
      </c>
      <c r="F7" s="34">
        <f>[2]Лист1!$J$28</f>
        <v>2</v>
      </c>
      <c r="G7" s="34">
        <f>[2]Лист1!$J$29</f>
        <v>6</v>
      </c>
      <c r="H7" s="34">
        <f>[2]Лист1!$J$30</f>
        <v>90</v>
      </c>
      <c r="I7" s="30">
        <f>[2]Лист1!$M$32</f>
        <v>0.08</v>
      </c>
      <c r="J7" s="30">
        <f>[2]Лист1!$M$31</f>
        <v>0.7</v>
      </c>
      <c r="K7" s="30">
        <f>[2]Лист1!$M$33</f>
        <v>39</v>
      </c>
      <c r="L7" s="30">
        <f>[2]Лист1!$M$34</f>
        <v>1.3</v>
      </c>
      <c r="M7" s="30">
        <f>[2]Лист1!$M$27</f>
        <v>45</v>
      </c>
      <c r="N7" s="30">
        <f>[2]Лист1!$M$28</f>
        <v>179</v>
      </c>
      <c r="O7" s="30">
        <f>[2]Лист1!$M$29</f>
        <v>28.999999999999996</v>
      </c>
      <c r="P7" s="30">
        <f>[2]Лист1!$M$30</f>
        <v>0.89000000000000012</v>
      </c>
      <c r="Q7" s="255" t="s">
        <v>91</v>
      </c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1:30">
      <c r="A8" s="55"/>
      <c r="B8" s="38">
        <v>114</v>
      </c>
      <c r="C8" s="32" t="s">
        <v>13</v>
      </c>
      <c r="D8" s="33">
        <v>40</v>
      </c>
      <c r="E8" s="34">
        <v>3.16</v>
      </c>
      <c r="F8" s="34">
        <v>0.4</v>
      </c>
      <c r="G8" s="34">
        <v>19.32</v>
      </c>
      <c r="H8" s="34">
        <v>94</v>
      </c>
      <c r="I8" s="30">
        <v>0.08</v>
      </c>
      <c r="J8" s="30">
        <v>0</v>
      </c>
      <c r="K8" s="30">
        <v>0.56799999999999995</v>
      </c>
      <c r="L8" s="30">
        <v>0.30399999999999999</v>
      </c>
      <c r="M8" s="30">
        <v>9.1999999999999993</v>
      </c>
      <c r="N8" s="30">
        <v>30</v>
      </c>
      <c r="O8" s="30">
        <v>13.2</v>
      </c>
      <c r="P8" s="30">
        <v>0.76</v>
      </c>
      <c r="Q8" s="186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>
      <c r="A9" s="55"/>
      <c r="B9" s="38">
        <v>466</v>
      </c>
      <c r="C9" s="32" t="s">
        <v>160</v>
      </c>
      <c r="D9" s="33">
        <v>200</v>
      </c>
      <c r="E9" s="34">
        <f>[3]Лист1!$J$23</f>
        <v>2.6</v>
      </c>
      <c r="F9" s="34">
        <f>[3]Лист1!$J$24</f>
        <v>3.2</v>
      </c>
      <c r="G9" s="34">
        <f>[3]Лист1!$J$25</f>
        <v>19</v>
      </c>
      <c r="H9" s="35">
        <f>[3]Лист1!$J$26</f>
        <v>115</v>
      </c>
      <c r="I9" s="30">
        <f>[3]Лист1!$M$28</f>
        <v>0.02</v>
      </c>
      <c r="J9" s="30">
        <f>[3]Лист1!$M$27</f>
        <v>0.2</v>
      </c>
      <c r="K9" s="30">
        <f>[3]Лист1!$M$29</f>
        <v>15.2</v>
      </c>
      <c r="L9" s="30">
        <f>[3]Лист1!$M$30</f>
        <v>0.08</v>
      </c>
      <c r="M9" s="30">
        <f>[3]Лист1!$M$23</f>
        <v>105</v>
      </c>
      <c r="N9" s="30">
        <f>[3]Лист1!$M$24</f>
        <v>70.7</v>
      </c>
      <c r="O9" s="30">
        <f>[3]Лист1!$M$25</f>
        <v>11.6</v>
      </c>
      <c r="P9" s="30">
        <f>[3]Лист1!$M$26</f>
        <v>7.0000000000000007E-2</v>
      </c>
      <c r="Q9" s="186" t="s">
        <v>161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1:30">
      <c r="A10" s="55"/>
      <c r="B10" s="38"/>
      <c r="C10" s="32"/>
      <c r="D10" s="33"/>
      <c r="E10" s="34"/>
      <c r="F10" s="34"/>
      <c r="G10" s="34"/>
      <c r="H10" s="34"/>
      <c r="I10" s="30"/>
      <c r="J10" s="30"/>
      <c r="K10" s="30"/>
      <c r="L10" s="30"/>
      <c r="M10" s="30"/>
      <c r="N10" s="30"/>
      <c r="O10" s="30"/>
      <c r="P10" s="30"/>
      <c r="Q10" s="186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>
      <c r="A11" s="55"/>
      <c r="B11" s="39"/>
      <c r="C11" s="40"/>
      <c r="D11" s="41"/>
      <c r="E11" s="42"/>
      <c r="F11" s="42"/>
      <c r="G11" s="42"/>
      <c r="H11" s="42"/>
      <c r="I11" s="31"/>
      <c r="J11" s="31"/>
      <c r="K11" s="31"/>
      <c r="L11" s="31"/>
      <c r="M11" s="31"/>
      <c r="N11" s="31"/>
      <c r="O11" s="31"/>
      <c r="P11" s="31"/>
      <c r="Q11" s="185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0" ht="13.5" thickBot="1">
      <c r="A12" s="55"/>
      <c r="B12" s="38"/>
      <c r="C12" s="32"/>
      <c r="D12" s="33"/>
      <c r="E12" s="34"/>
      <c r="F12" s="34"/>
      <c r="G12" s="35"/>
      <c r="H12" s="34"/>
      <c r="I12" s="30"/>
      <c r="J12" s="30"/>
      <c r="K12" s="30"/>
      <c r="L12" s="30"/>
      <c r="M12" s="30"/>
      <c r="N12" s="30"/>
      <c r="O12" s="30"/>
      <c r="P12" s="30"/>
      <c r="Q12" s="36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30" ht="13.5" thickBot="1">
      <c r="A13" s="56" t="s">
        <v>139</v>
      </c>
      <c r="B13" s="57"/>
      <c r="C13" s="58"/>
      <c r="D13" s="59">
        <f>D6+D7+D8+D11+D12+D9+D10</f>
        <v>590</v>
      </c>
      <c r="E13" s="60">
        <f>E6+E7+E8+E11+E12+E9+E10</f>
        <v>25.135000000000002</v>
      </c>
      <c r="F13" s="60">
        <f t="shared" ref="F13:P13" si="0">F6+F7+F8+F11+F12+F9+F10</f>
        <v>13.850000000000001</v>
      </c>
      <c r="G13" s="60">
        <f t="shared" si="0"/>
        <v>90.07</v>
      </c>
      <c r="H13" s="60">
        <f t="shared" si="0"/>
        <v>585.75</v>
      </c>
      <c r="I13" s="60">
        <f t="shared" si="0"/>
        <v>0.25000000000000006</v>
      </c>
      <c r="J13" s="60">
        <f t="shared" si="0"/>
        <v>2.4750000000000001</v>
      </c>
      <c r="K13" s="60">
        <f t="shared" si="0"/>
        <v>103.018</v>
      </c>
      <c r="L13" s="60">
        <f t="shared" si="0"/>
        <v>1.9640000000000002</v>
      </c>
      <c r="M13" s="60">
        <f t="shared" si="0"/>
        <v>311.45</v>
      </c>
      <c r="N13" s="60">
        <f t="shared" si="0"/>
        <v>472.2</v>
      </c>
      <c r="O13" s="60">
        <f t="shared" si="0"/>
        <v>98.05</v>
      </c>
      <c r="P13" s="60">
        <f t="shared" si="0"/>
        <v>1.8600000000000003</v>
      </c>
      <c r="Q13" s="77" t="s">
        <v>84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 spans="1:30" ht="13.5" thickBot="1">
      <c r="A14" s="61"/>
      <c r="B14" s="62"/>
      <c r="C14" s="63" t="s">
        <v>115</v>
      </c>
      <c r="D14" s="64"/>
      <c r="E14" s="65">
        <v>90</v>
      </c>
      <c r="F14" s="65">
        <v>92</v>
      </c>
      <c r="G14" s="65">
        <v>383</v>
      </c>
      <c r="H14" s="65">
        <v>2720</v>
      </c>
      <c r="I14" s="66"/>
      <c r="J14" s="66"/>
      <c r="K14" s="66"/>
      <c r="L14" s="66"/>
      <c r="M14" s="66"/>
      <c r="N14" s="66"/>
      <c r="O14" s="66"/>
      <c r="P14" s="66"/>
      <c r="Q14" s="78" t="s">
        <v>85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30" ht="13.5" thickBot="1">
      <c r="A15" s="56"/>
      <c r="B15" s="57"/>
      <c r="C15" s="67" t="s">
        <v>116</v>
      </c>
      <c r="D15" s="59"/>
      <c r="E15" s="68">
        <f>E13*100/E14</f>
        <v>27.927777777777777</v>
      </c>
      <c r="F15" s="68">
        <f>F13*100/F14</f>
        <v>15.054347826086959</v>
      </c>
      <c r="G15" s="68">
        <f>G13*100/G14</f>
        <v>23.516971279373369</v>
      </c>
      <c r="H15" s="68">
        <f>H13*100/H14</f>
        <v>21.534926470588236</v>
      </c>
      <c r="I15" s="60"/>
      <c r="J15" s="60"/>
      <c r="K15" s="60"/>
      <c r="L15" s="60"/>
      <c r="M15" s="60"/>
      <c r="N15" s="60"/>
      <c r="O15" s="60"/>
      <c r="P15" s="60"/>
      <c r="Q15" s="79" t="s">
        <v>92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</row>
  </sheetData>
  <mergeCells count="12">
    <mergeCell ref="A1:Q1"/>
    <mergeCell ref="Q4:Q5"/>
    <mergeCell ref="A4:A5"/>
    <mergeCell ref="E4:E5"/>
    <mergeCell ref="B4:B5"/>
    <mergeCell ref="C4:C5"/>
    <mergeCell ref="D4:D5"/>
    <mergeCell ref="F4:F5"/>
    <mergeCell ref="G4:G5"/>
    <mergeCell ref="H4:H5"/>
    <mergeCell ref="I4:L4"/>
    <mergeCell ref="M4:P4"/>
  </mergeCells>
  <phoneticPr fontId="3" type="noConversion"/>
  <pageMargins left="0.19685039370078741" right="0.19685039370078741" top="0.39370078740157483" bottom="0.39370078740157483" header="0" footer="0"/>
  <pageSetup paperSize="9" scale="93" orientation="landscape" r:id="rId1"/>
  <headerFooter alignWithMargins="0"/>
  <ignoredErrors>
    <ignoredError sqref="E15:H15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6"/>
  <sheetViews>
    <sheetView workbookViewId="0">
      <selection sqref="A1:Q15"/>
    </sheetView>
  </sheetViews>
  <sheetFormatPr defaultRowHeight="12.75"/>
  <cols>
    <col min="1" max="1" width="6.28515625" customWidth="1"/>
    <col min="2" max="2" width="4" bestFit="1" customWidth="1"/>
    <col min="3" max="3" width="34.5703125" customWidth="1"/>
    <col min="4" max="4" width="4" bestFit="1" customWidth="1"/>
    <col min="5" max="7" width="5.42578125" bestFit="1" customWidth="1"/>
    <col min="8" max="8" width="6.42578125" bestFit="1" customWidth="1"/>
    <col min="9" max="9" width="4.42578125" bestFit="1" customWidth="1"/>
    <col min="10" max="11" width="5.42578125" bestFit="1" customWidth="1"/>
    <col min="12" max="12" width="4.42578125" bestFit="1" customWidth="1"/>
    <col min="13" max="14" width="6.42578125" bestFit="1" customWidth="1"/>
    <col min="15" max="15" width="5.42578125" bestFit="1" customWidth="1"/>
    <col min="16" max="16" width="4.42578125" bestFit="1" customWidth="1"/>
    <col min="17" max="17" width="46.5703125" bestFit="1" customWidth="1"/>
  </cols>
  <sheetData>
    <row r="1" spans="1:30" s="10" customFormat="1">
      <c r="A1" s="202" t="s">
        <v>132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</row>
    <row r="2" spans="1:30" s="9" customFormat="1">
      <c r="A2" s="9" t="s">
        <v>74</v>
      </c>
      <c r="B2" s="10"/>
    </row>
    <row r="3" spans="1:30" s="9" customFormat="1" ht="13.5" thickBot="1"/>
    <row r="4" spans="1:30" s="8" customFormat="1" ht="12.75" customHeight="1">
      <c r="A4" s="205" t="s">
        <v>105</v>
      </c>
      <c r="B4" s="207" t="s">
        <v>106</v>
      </c>
      <c r="C4" s="209" t="s">
        <v>107</v>
      </c>
      <c r="D4" s="207" t="s">
        <v>108</v>
      </c>
      <c r="E4" s="207" t="s">
        <v>110</v>
      </c>
      <c r="F4" s="207" t="s">
        <v>111</v>
      </c>
      <c r="G4" s="207" t="s">
        <v>112</v>
      </c>
      <c r="H4" s="207" t="s">
        <v>109</v>
      </c>
      <c r="I4" s="211" t="s">
        <v>0</v>
      </c>
      <c r="J4" s="212"/>
      <c r="K4" s="212"/>
      <c r="L4" s="213"/>
      <c r="M4" s="211" t="s">
        <v>5</v>
      </c>
      <c r="N4" s="212"/>
      <c r="O4" s="212"/>
      <c r="P4" s="213"/>
      <c r="Q4" s="203" t="s">
        <v>83</v>
      </c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1:30" s="8" customFormat="1" ht="13.5" thickBot="1">
      <c r="A5" s="206"/>
      <c r="B5" s="208"/>
      <c r="C5" s="210"/>
      <c r="D5" s="208"/>
      <c r="E5" s="208"/>
      <c r="F5" s="208"/>
      <c r="G5" s="208"/>
      <c r="H5" s="208"/>
      <c r="I5" s="85" t="s">
        <v>1</v>
      </c>
      <c r="J5" s="85" t="s">
        <v>2</v>
      </c>
      <c r="K5" s="85" t="s">
        <v>3</v>
      </c>
      <c r="L5" s="85" t="s">
        <v>4</v>
      </c>
      <c r="M5" s="86" t="s">
        <v>6</v>
      </c>
      <c r="N5" s="85" t="s">
        <v>7</v>
      </c>
      <c r="O5" s="85" t="s">
        <v>8</v>
      </c>
      <c r="P5" s="85" t="s">
        <v>9</v>
      </c>
      <c r="Q5" s="20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1:30" s="8" customFormat="1">
      <c r="A6" s="87" t="s">
        <v>80</v>
      </c>
      <c r="B6" s="38">
        <v>366</v>
      </c>
      <c r="C6" s="32" t="s">
        <v>173</v>
      </c>
      <c r="D6" s="33">
        <v>100</v>
      </c>
      <c r="E6" s="34">
        <f>[27]Лист1!$J$23</f>
        <v>23.75</v>
      </c>
      <c r="F6" s="34">
        <f>[27]Лист1!$J$24</f>
        <v>17.5</v>
      </c>
      <c r="G6" s="34">
        <f>[27]Лист1!$J$25</f>
        <v>0</v>
      </c>
      <c r="H6" s="34">
        <f>[27]Лист1!$J$26</f>
        <v>252.5</v>
      </c>
      <c r="I6" s="30">
        <f>[27]Лист1!$M$28</f>
        <v>3.7499999999999999E-2</v>
      </c>
      <c r="J6" s="30">
        <f>[27]Лист1!$M$27</f>
        <v>1.5</v>
      </c>
      <c r="K6" s="30">
        <f>[27]Лист1!$M$29</f>
        <v>40</v>
      </c>
      <c r="L6" s="30">
        <f>[27]Лист1!$M$30</f>
        <v>0</v>
      </c>
      <c r="M6" s="30">
        <f>[27]Лист1!$M$23</f>
        <v>36.25</v>
      </c>
      <c r="N6" s="30">
        <f>[27]Лист1!$M$24</f>
        <v>163.75</v>
      </c>
      <c r="O6" s="30">
        <f>[27]Лист1!$M$25</f>
        <v>20</v>
      </c>
      <c r="P6" s="30">
        <f>[27]Лист1!$M$26</f>
        <v>1.7</v>
      </c>
      <c r="Q6" s="186" t="s">
        <v>175</v>
      </c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</row>
    <row r="7" spans="1:30" ht="12.75" customHeight="1">
      <c r="A7" s="81"/>
      <c r="B7" s="38">
        <v>377</v>
      </c>
      <c r="C7" s="32" t="s">
        <v>174</v>
      </c>
      <c r="D7" s="33">
        <v>180</v>
      </c>
      <c r="E7" s="34">
        <f>[28]Лист1!$J$23</f>
        <v>3.78</v>
      </c>
      <c r="F7" s="34">
        <f>[28]Лист1!$J$24</f>
        <v>7.2</v>
      </c>
      <c r="G7" s="34">
        <f>[28]Лист1!$J$25</f>
        <v>10.98</v>
      </c>
      <c r="H7" s="34">
        <f>[28]Лист1!$J$26</f>
        <v>122.4</v>
      </c>
      <c r="I7" s="30">
        <f>[28]Лист1!$M$28</f>
        <v>0.14400000000000002</v>
      </c>
      <c r="J7" s="30">
        <f>[28]Лист1!$M$27</f>
        <v>4.5</v>
      </c>
      <c r="K7" s="30">
        <f>[28]Лист1!$M$29</f>
        <v>35.819999999999993</v>
      </c>
      <c r="L7" s="30">
        <f>[28]Лист1!$M$30</f>
        <v>0.18</v>
      </c>
      <c r="M7" s="30">
        <f>[28]Лист1!$M$23</f>
        <v>45.9</v>
      </c>
      <c r="N7" s="30">
        <f>[28]Лист1!$M$24</f>
        <v>92.7</v>
      </c>
      <c r="O7" s="30">
        <f>[28]Лист1!$M$25</f>
        <v>29.519999999999996</v>
      </c>
      <c r="P7" s="30">
        <f>[28]Лист1!$M$26</f>
        <v>1.0439999999999998</v>
      </c>
      <c r="Q7" s="255" t="s">
        <v>176</v>
      </c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1:30">
      <c r="A8" s="81"/>
      <c r="B8" s="38">
        <v>114</v>
      </c>
      <c r="C8" s="32" t="s">
        <v>13</v>
      </c>
      <c r="D8" s="33">
        <v>40</v>
      </c>
      <c r="E8" s="34">
        <v>3.16</v>
      </c>
      <c r="F8" s="34">
        <v>0.4</v>
      </c>
      <c r="G8" s="34">
        <v>19.32</v>
      </c>
      <c r="H8" s="34">
        <v>94</v>
      </c>
      <c r="I8" s="30">
        <v>0.08</v>
      </c>
      <c r="J8" s="30">
        <v>0</v>
      </c>
      <c r="K8" s="30">
        <v>0.56799999999999995</v>
      </c>
      <c r="L8" s="30">
        <v>0.30399999999999999</v>
      </c>
      <c r="M8" s="30">
        <v>9.1999999999999993</v>
      </c>
      <c r="N8" s="30">
        <v>30</v>
      </c>
      <c r="O8" s="30">
        <v>13.2</v>
      </c>
      <c r="P8" s="30">
        <v>0.76</v>
      </c>
      <c r="Q8" s="186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>
      <c r="A9" s="55"/>
      <c r="B9" s="38">
        <v>457</v>
      </c>
      <c r="C9" s="32" t="s">
        <v>78</v>
      </c>
      <c r="D9" s="33">
        <v>200</v>
      </c>
      <c r="E9" s="34">
        <f>[6]Лист1!$J$23</f>
        <v>0.2</v>
      </c>
      <c r="F9" s="34">
        <f>[6]Лист1!$J$24</f>
        <v>0.1</v>
      </c>
      <c r="G9" s="34">
        <f>[6]Лист1!$J$25</f>
        <v>9.3000000000000007</v>
      </c>
      <c r="H9" s="35">
        <f>[6]Лист1!$J$26</f>
        <v>38</v>
      </c>
      <c r="I9" s="30">
        <f>[6]Лист1!$M$28</f>
        <v>0.03</v>
      </c>
      <c r="J9" s="30">
        <f>[6]Лист1!$M$27</f>
        <v>0.7</v>
      </c>
      <c r="K9" s="30">
        <f>[6]Лист1!$M$29</f>
        <v>19</v>
      </c>
      <c r="L9" s="30">
        <f>[6]Лист1!$M$30</f>
        <v>0</v>
      </c>
      <c r="M9" s="30">
        <f>[6]Лист1!$M$23</f>
        <v>108.3</v>
      </c>
      <c r="N9" s="30">
        <f>[6]Лист1!$M$24</f>
        <v>76.5</v>
      </c>
      <c r="O9" s="30">
        <f>[6]Лист1!$M$25</f>
        <v>12.6</v>
      </c>
      <c r="P9" s="30">
        <f>[6]Лист1!$M$30</f>
        <v>0</v>
      </c>
      <c r="Q9" s="186" t="s">
        <v>86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1:30">
      <c r="A10" s="55"/>
      <c r="B10" s="38">
        <v>82</v>
      </c>
      <c r="C10" s="32" t="s">
        <v>34</v>
      </c>
      <c r="D10" s="33">
        <v>100</v>
      </c>
      <c r="E10" s="34">
        <f>[7]Лист1!$J$11</f>
        <v>0.4</v>
      </c>
      <c r="F10" s="34">
        <f>[7]Лист1!$J$12</f>
        <v>0.4</v>
      </c>
      <c r="G10" s="35">
        <f>[7]Лист1!$J$13</f>
        <v>9.8000000000000007</v>
      </c>
      <c r="H10" s="34">
        <f>[7]Лист1!$J$14</f>
        <v>44</v>
      </c>
      <c r="I10" s="30">
        <f>[7]Лист1!$M$16</f>
        <v>0.03</v>
      </c>
      <c r="J10" s="30">
        <f>[7]Лист1!$M$15</f>
        <v>7</v>
      </c>
      <c r="K10" s="30">
        <f>[7]Лист1!$M$17</f>
        <v>0</v>
      </c>
      <c r="L10" s="30">
        <f>[7]Лист1!$M$18</f>
        <v>0.2</v>
      </c>
      <c r="M10" s="30">
        <f>[7]Лист1!$M$11</f>
        <v>16.100000000000001</v>
      </c>
      <c r="N10" s="30">
        <f>[7]Лист1!$M$12</f>
        <v>11</v>
      </c>
      <c r="O10" s="30">
        <f>[7]Лист1!$M$13</f>
        <v>9</v>
      </c>
      <c r="P10" s="30">
        <f>[7]Лист1!$M$14</f>
        <v>2.21</v>
      </c>
      <c r="Q10" s="186" t="s">
        <v>87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>
      <c r="A11" s="55"/>
      <c r="B11" s="38"/>
      <c r="C11" s="32"/>
      <c r="D11" s="33"/>
      <c r="E11" s="34"/>
      <c r="F11" s="34"/>
      <c r="G11" s="35"/>
      <c r="H11" s="34"/>
      <c r="I11" s="30"/>
      <c r="J11" s="30"/>
      <c r="K11" s="30"/>
      <c r="L11" s="30"/>
      <c r="M11" s="30"/>
      <c r="N11" s="30"/>
      <c r="O11" s="30"/>
      <c r="P11" s="30"/>
      <c r="Q11" s="186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0" ht="13.5" thickBot="1">
      <c r="A12" s="55"/>
      <c r="B12" s="38"/>
      <c r="C12" s="32"/>
      <c r="D12" s="33"/>
      <c r="E12" s="34"/>
      <c r="F12" s="34"/>
      <c r="G12" s="35"/>
      <c r="H12" s="34"/>
      <c r="I12" s="30"/>
      <c r="J12" s="30"/>
      <c r="K12" s="30"/>
      <c r="L12" s="30"/>
      <c r="M12" s="30"/>
      <c r="N12" s="30"/>
      <c r="O12" s="30"/>
      <c r="P12" s="30"/>
      <c r="Q12" s="186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30" ht="13.5" thickBot="1">
      <c r="A13" s="56" t="s">
        <v>143</v>
      </c>
      <c r="B13" s="57"/>
      <c r="C13" s="58"/>
      <c r="D13" s="59">
        <f>D6+D7+D8+D9+D10+D12+D11</f>
        <v>620</v>
      </c>
      <c r="E13" s="60">
        <f>E6+E7+E8+E9+E10+E12+E11</f>
        <v>31.29</v>
      </c>
      <c r="F13" s="60">
        <f t="shared" ref="F13:P13" si="0">F6+F7+F8+F9+F10+F12+F11</f>
        <v>25.599999999999998</v>
      </c>
      <c r="G13" s="60">
        <f t="shared" si="0"/>
        <v>49.400000000000006</v>
      </c>
      <c r="H13" s="60">
        <f t="shared" si="0"/>
        <v>550.9</v>
      </c>
      <c r="I13" s="60">
        <f t="shared" si="0"/>
        <v>0.32150000000000001</v>
      </c>
      <c r="J13" s="60">
        <f t="shared" si="0"/>
        <v>13.7</v>
      </c>
      <c r="K13" s="60">
        <f t="shared" si="0"/>
        <v>95.387999999999991</v>
      </c>
      <c r="L13" s="60">
        <f t="shared" si="0"/>
        <v>0.68399999999999994</v>
      </c>
      <c r="M13" s="60">
        <f t="shared" si="0"/>
        <v>215.75</v>
      </c>
      <c r="N13" s="60">
        <f t="shared" si="0"/>
        <v>373.95</v>
      </c>
      <c r="O13" s="60">
        <f t="shared" si="0"/>
        <v>84.32</v>
      </c>
      <c r="P13" s="60">
        <f t="shared" si="0"/>
        <v>5.7139999999999995</v>
      </c>
      <c r="Q13" s="77" t="s">
        <v>84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 spans="1:30" s="194" customFormat="1" ht="12" thickBot="1">
      <c r="A14" s="187"/>
      <c r="B14" s="188"/>
      <c r="C14" s="189" t="s">
        <v>115</v>
      </c>
      <c r="D14" s="190"/>
      <c r="E14" s="191">
        <v>90</v>
      </c>
      <c r="F14" s="191">
        <v>92</v>
      </c>
      <c r="G14" s="191">
        <v>383</v>
      </c>
      <c r="H14" s="191">
        <v>2720</v>
      </c>
      <c r="I14" s="192"/>
      <c r="J14" s="192"/>
      <c r="K14" s="192"/>
      <c r="L14" s="192"/>
      <c r="M14" s="192"/>
      <c r="N14" s="192"/>
      <c r="O14" s="192"/>
      <c r="P14" s="192"/>
      <c r="Q14" s="78" t="s">
        <v>85</v>
      </c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</row>
    <row r="15" spans="1:30" ht="13.5" thickBot="1">
      <c r="A15" s="56"/>
      <c r="B15" s="57"/>
      <c r="C15" s="67" t="s">
        <v>116</v>
      </c>
      <c r="D15" s="59"/>
      <c r="E15" s="68">
        <f>E13*100/E14</f>
        <v>34.766666666666666</v>
      </c>
      <c r="F15" s="68">
        <f>F13*100/F14</f>
        <v>27.826086956521738</v>
      </c>
      <c r="G15" s="68">
        <f>G13*100/G14</f>
        <v>12.898172323759793</v>
      </c>
      <c r="H15" s="68">
        <f>H13*100/H14</f>
        <v>20.253676470588236</v>
      </c>
      <c r="I15" s="60"/>
      <c r="J15" s="60"/>
      <c r="K15" s="60"/>
      <c r="L15" s="60"/>
      <c r="M15" s="60"/>
      <c r="N15" s="60"/>
      <c r="O15" s="60"/>
      <c r="P15" s="60"/>
      <c r="Q15" s="79" t="s">
        <v>92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</row>
    <row r="16" spans="1:30">
      <c r="A16" s="9"/>
    </row>
  </sheetData>
  <mergeCells count="12">
    <mergeCell ref="M4:P4"/>
    <mergeCell ref="A1:Q1"/>
    <mergeCell ref="Q4:Q5"/>
    <mergeCell ref="A4:A5"/>
    <mergeCell ref="B4:B5"/>
    <mergeCell ref="F4:F5"/>
    <mergeCell ref="C4:C5"/>
    <mergeCell ref="D4:D5"/>
    <mergeCell ref="E4:E5"/>
    <mergeCell ref="G4:G5"/>
    <mergeCell ref="H4:H5"/>
    <mergeCell ref="I4:L4"/>
  </mergeCells>
  <phoneticPr fontId="3" type="noConversion"/>
  <pageMargins left="0.75" right="0.75" top="1" bottom="1" header="0.5" footer="0.5"/>
  <pageSetup paperSize="9" scale="8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72"/>
  <sheetViews>
    <sheetView workbookViewId="0">
      <pane xSplit="7" ySplit="3" topLeftCell="Q4" activePane="bottomRight" state="frozen"/>
      <selection pane="topRight" activeCell="H1" sqref="H1"/>
      <selection pane="bottomLeft" activeCell="A4" sqref="A4"/>
      <selection pane="bottomRight" activeCell="Q10" sqref="Q10"/>
    </sheetView>
  </sheetViews>
  <sheetFormatPr defaultRowHeight="12.75"/>
  <cols>
    <col min="2" max="2" width="30.85546875" customWidth="1"/>
    <col min="3" max="3" width="7.28515625" customWidth="1"/>
    <col min="5" max="5" width="7.28515625" customWidth="1"/>
    <col min="7" max="7" width="10" bestFit="1" customWidth="1"/>
    <col min="8" max="8" width="6.42578125" customWidth="1"/>
    <col min="9" max="9" width="9.28515625" customWidth="1"/>
    <col min="10" max="10" width="8.140625" customWidth="1"/>
    <col min="11" max="11" width="6.42578125" bestFit="1" customWidth="1"/>
    <col min="12" max="15" width="6.42578125" customWidth="1"/>
    <col min="16" max="17" width="6.42578125" bestFit="1" customWidth="1"/>
    <col min="18" max="24" width="6.42578125" customWidth="1"/>
    <col min="25" max="26" width="6.85546875" customWidth="1"/>
    <col min="27" max="30" width="6.42578125" customWidth="1"/>
    <col min="34" max="34" width="6.85546875" customWidth="1"/>
  </cols>
  <sheetData>
    <row r="1" spans="1:30" ht="46.5" customHeight="1" thickBot="1">
      <c r="A1" s="6"/>
      <c r="B1" s="216" t="s">
        <v>133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</row>
    <row r="2" spans="1:30" s="194" customFormat="1" ht="15" customHeight="1" thickBot="1">
      <c r="B2" s="219" t="s">
        <v>64</v>
      </c>
      <c r="C2" s="221" t="s">
        <v>65</v>
      </c>
      <c r="D2" s="223" t="s">
        <v>150</v>
      </c>
      <c r="E2" s="225" t="s">
        <v>151</v>
      </c>
      <c r="F2" s="227" t="s">
        <v>152</v>
      </c>
      <c r="G2" s="217" t="s">
        <v>153</v>
      </c>
      <c r="H2" s="229" t="s">
        <v>177</v>
      </c>
      <c r="I2" s="231" t="s">
        <v>154</v>
      </c>
      <c r="J2" s="233" t="s">
        <v>155</v>
      </c>
      <c r="K2" s="198" t="s">
        <v>10</v>
      </c>
      <c r="L2" s="199" t="s">
        <v>10</v>
      </c>
      <c r="M2" s="198" t="s">
        <v>11</v>
      </c>
      <c r="N2" s="199" t="s">
        <v>11</v>
      </c>
      <c r="O2" s="133" t="s">
        <v>58</v>
      </c>
      <c r="P2" s="134" t="s">
        <v>58</v>
      </c>
      <c r="Q2" s="198" t="s">
        <v>77</v>
      </c>
      <c r="R2" s="199" t="s">
        <v>77</v>
      </c>
      <c r="S2" s="122" t="s">
        <v>59</v>
      </c>
      <c r="T2" s="135" t="s">
        <v>59</v>
      </c>
      <c r="U2" s="200" t="s">
        <v>79</v>
      </c>
      <c r="V2" s="201" t="s">
        <v>79</v>
      </c>
      <c r="W2" s="133" t="s">
        <v>60</v>
      </c>
      <c r="X2" s="134" t="s">
        <v>60</v>
      </c>
      <c r="Y2" s="133" t="s">
        <v>61</v>
      </c>
      <c r="Z2" s="134" t="s">
        <v>61</v>
      </c>
      <c r="AA2" s="122" t="s">
        <v>62</v>
      </c>
      <c r="AB2" s="135" t="s">
        <v>62</v>
      </c>
      <c r="AC2" s="136" t="s">
        <v>63</v>
      </c>
      <c r="AD2" s="137" t="s">
        <v>63</v>
      </c>
    </row>
    <row r="3" spans="1:30" ht="30.75" customHeight="1" thickBot="1">
      <c r="B3" s="220"/>
      <c r="C3" s="222"/>
      <c r="D3" s="224"/>
      <c r="E3" s="226"/>
      <c r="F3" s="228"/>
      <c r="G3" s="218"/>
      <c r="H3" s="230"/>
      <c r="I3" s="232"/>
      <c r="J3" s="234"/>
      <c r="K3" s="181" t="s">
        <v>156</v>
      </c>
      <c r="L3" s="132" t="s">
        <v>157</v>
      </c>
      <c r="M3" s="22" t="s">
        <v>156</v>
      </c>
      <c r="N3" s="132" t="s">
        <v>158</v>
      </c>
      <c r="O3" s="22" t="s">
        <v>156</v>
      </c>
      <c r="P3" s="132" t="s">
        <v>157</v>
      </c>
      <c r="Q3" s="133" t="s">
        <v>156</v>
      </c>
      <c r="R3" s="134" t="s">
        <v>157</v>
      </c>
      <c r="S3" s="122" t="s">
        <v>156</v>
      </c>
      <c r="T3" s="135" t="s">
        <v>157</v>
      </c>
      <c r="U3" s="133" t="s">
        <v>156</v>
      </c>
      <c r="V3" s="134" t="s">
        <v>157</v>
      </c>
      <c r="W3" s="22" t="s">
        <v>156</v>
      </c>
      <c r="X3" s="132" t="s">
        <v>157</v>
      </c>
      <c r="Y3" s="22" t="s">
        <v>156</v>
      </c>
      <c r="Z3" s="132" t="s">
        <v>159</v>
      </c>
      <c r="AA3" s="122" t="s">
        <v>156</v>
      </c>
      <c r="AB3" s="135" t="s">
        <v>157</v>
      </c>
      <c r="AC3" s="136" t="s">
        <v>156</v>
      </c>
      <c r="AD3" s="137" t="s">
        <v>157</v>
      </c>
    </row>
    <row r="4" spans="1:30" ht="16.5" thickBot="1">
      <c r="B4" s="138" t="s">
        <v>12</v>
      </c>
      <c r="C4" s="139">
        <v>120</v>
      </c>
      <c r="D4" s="140">
        <f>C4*20/100</f>
        <v>24</v>
      </c>
      <c r="E4" s="141">
        <f>I4/10</f>
        <v>0</v>
      </c>
      <c r="F4" s="142">
        <f>J4/10</f>
        <v>0</v>
      </c>
      <c r="G4" s="143">
        <f>F4*20/D4</f>
        <v>0</v>
      </c>
      <c r="H4" s="23">
        <f>E4/1000*58.2</f>
        <v>0</v>
      </c>
      <c r="I4" s="18">
        <f t="shared" ref="I4:I35" si="0">K4+M4+O4+Q4+S4+Y4+W4+U4+AA4+AC4</f>
        <v>0</v>
      </c>
      <c r="J4" s="144">
        <f t="shared" ref="J4:J35" si="1">L4+N4+P4+R4+T4+Z4+X4+V4+AB4+AD4</f>
        <v>0</v>
      </c>
      <c r="K4" s="123"/>
      <c r="L4" s="145"/>
      <c r="M4" s="123"/>
      <c r="N4" s="145"/>
      <c r="O4" s="123"/>
      <c r="P4" s="145"/>
      <c r="Q4" s="123"/>
      <c r="R4" s="145"/>
      <c r="S4" s="146"/>
      <c r="T4" s="147"/>
      <c r="U4" s="69"/>
      <c r="V4" s="148"/>
      <c r="W4" s="69"/>
      <c r="X4" s="148"/>
      <c r="Y4" s="69"/>
      <c r="Z4" s="148"/>
      <c r="AA4" s="69"/>
      <c r="AB4" s="148"/>
      <c r="AC4" s="123"/>
      <c r="AD4" s="145"/>
    </row>
    <row r="5" spans="1:30" ht="16.5" thickBot="1">
      <c r="B5" s="13" t="s">
        <v>13</v>
      </c>
      <c r="C5" s="149">
        <v>200</v>
      </c>
      <c r="D5" s="140">
        <f>C5*20/100</f>
        <v>40</v>
      </c>
      <c r="E5" s="141">
        <f t="shared" ref="E5:F68" si="2">I5/10</f>
        <v>42.5</v>
      </c>
      <c r="F5" s="142">
        <f t="shared" si="2"/>
        <v>42.5</v>
      </c>
      <c r="G5" s="143">
        <f>F5*20/D5</f>
        <v>21.25</v>
      </c>
      <c r="H5" s="23">
        <f>E5/1000*83.4</f>
        <v>3.5445000000000007</v>
      </c>
      <c r="I5" s="18">
        <f t="shared" si="0"/>
        <v>425</v>
      </c>
      <c r="J5" s="144">
        <f t="shared" si="1"/>
        <v>425</v>
      </c>
      <c r="K5" s="150">
        <f>'1день'!D8+[2]Лист1!$C$35</f>
        <v>48</v>
      </c>
      <c r="L5" s="151">
        <f>'1день'!D8+[2]Лист1!$D$35</f>
        <v>48</v>
      </c>
      <c r="M5" s="25">
        <f>'2 день'!D8</f>
        <v>40</v>
      </c>
      <c r="N5" s="152">
        <f>'2 день'!D8</f>
        <v>40</v>
      </c>
      <c r="O5" s="25">
        <f>'3 день '!D9</f>
        <v>40</v>
      </c>
      <c r="P5" s="152">
        <f>'3 день '!D9</f>
        <v>40</v>
      </c>
      <c r="Q5" s="25">
        <f>'4 день  '!D8</f>
        <v>40</v>
      </c>
      <c r="R5" s="152">
        <f>'4 день  '!D8</f>
        <v>40</v>
      </c>
      <c r="S5" s="3">
        <f>'5 день'!D8+[14]Лист1!$C$34</f>
        <v>53</v>
      </c>
      <c r="T5" s="153">
        <f>'5 день'!D8+[14]Лист1!$D$34</f>
        <v>53</v>
      </c>
      <c r="U5" s="2">
        <f>'6 день '!D7</f>
        <v>40</v>
      </c>
      <c r="V5" s="154">
        <f>'6 день '!D7</f>
        <v>40</v>
      </c>
      <c r="W5" s="2">
        <f>'7 день'!D8</f>
        <v>40</v>
      </c>
      <c r="X5" s="154">
        <f>'7 день'!D8</f>
        <v>40</v>
      </c>
      <c r="Y5" s="2">
        <f>'8 день '!D7</f>
        <v>40</v>
      </c>
      <c r="Z5" s="154">
        <f>'8 день '!D7</f>
        <v>40</v>
      </c>
      <c r="AA5" s="2">
        <f>'9 день '!D9+[24]Лист1!$C$29</f>
        <v>44</v>
      </c>
      <c r="AB5" s="154">
        <f>'9 день '!D9+[24]Лист1!$D$29</f>
        <v>44</v>
      </c>
      <c r="AC5" s="25">
        <f>'10 день '!D8</f>
        <v>40</v>
      </c>
      <c r="AD5" s="152">
        <f>'10 день '!D8</f>
        <v>40</v>
      </c>
    </row>
    <row r="6" spans="1:30" ht="16.5" thickBot="1">
      <c r="B6" s="13" t="s">
        <v>14</v>
      </c>
      <c r="C6" s="149">
        <v>20</v>
      </c>
      <c r="D6" s="140">
        <f>C6*20/100</f>
        <v>4</v>
      </c>
      <c r="E6" s="141">
        <f t="shared" si="2"/>
        <v>0.54</v>
      </c>
      <c r="F6" s="142">
        <f t="shared" si="2"/>
        <v>0.54</v>
      </c>
      <c r="G6" s="143">
        <f>F6*20/D6</f>
        <v>2.7</v>
      </c>
      <c r="H6" s="23">
        <f>E6/1000*39.2</f>
        <v>2.1168000000000003E-2</v>
      </c>
      <c r="I6" s="18">
        <f t="shared" si="0"/>
        <v>5.4</v>
      </c>
      <c r="J6" s="144">
        <f t="shared" si="1"/>
        <v>5.4</v>
      </c>
      <c r="K6" s="25"/>
      <c r="L6" s="152"/>
      <c r="M6" s="25"/>
      <c r="N6" s="152"/>
      <c r="O6" s="25"/>
      <c r="P6" s="152"/>
      <c r="Q6" s="25"/>
      <c r="R6" s="152"/>
      <c r="S6" s="3">
        <f>[14]Лист1!$C$41</f>
        <v>3.2</v>
      </c>
      <c r="T6" s="153">
        <f>[14]Лист1!$D$41</f>
        <v>3.2</v>
      </c>
      <c r="U6" s="2"/>
      <c r="V6" s="154"/>
      <c r="W6" s="2">
        <f>[20]Лист1!$C$33</f>
        <v>2.2000000000000002</v>
      </c>
      <c r="X6" s="154">
        <f>[20]Лист1!$D$33</f>
        <v>2.2000000000000002</v>
      </c>
      <c r="Y6" s="2"/>
      <c r="Z6" s="154"/>
      <c r="AA6" s="2"/>
      <c r="AB6" s="154"/>
      <c r="AC6" s="25"/>
      <c r="AD6" s="152"/>
    </row>
    <row r="7" spans="1:30" ht="16.5" thickBot="1">
      <c r="B7" s="13" t="s">
        <v>15</v>
      </c>
      <c r="C7" s="149">
        <v>50</v>
      </c>
      <c r="D7" s="140">
        <f>C7*20/100</f>
        <v>10</v>
      </c>
      <c r="E7" s="141">
        <f t="shared" si="2"/>
        <v>23.248478260869565</v>
      </c>
      <c r="F7" s="142">
        <f t="shared" si="2"/>
        <v>22.998304347826085</v>
      </c>
      <c r="G7" s="143">
        <f>F7*20/D7</f>
        <v>45.996608695652171</v>
      </c>
      <c r="H7" s="23"/>
      <c r="I7" s="18">
        <f t="shared" si="0"/>
        <v>232.48478260869564</v>
      </c>
      <c r="J7" s="144">
        <f t="shared" si="1"/>
        <v>229.98304347826087</v>
      </c>
      <c r="K7" s="124">
        <f>K8+K9+K10+K11+K12+K13+K14+K15</f>
        <v>55.5</v>
      </c>
      <c r="L7" s="124">
        <f t="shared" ref="L7:AD7" si="3">L8+L9+L10+L11+L12+L13+L14+L15</f>
        <v>55</v>
      </c>
      <c r="M7" s="124">
        <f t="shared" si="3"/>
        <v>13.33</v>
      </c>
      <c r="N7" s="124">
        <f t="shared" si="3"/>
        <v>13.33</v>
      </c>
      <c r="O7" s="124">
        <f t="shared" si="3"/>
        <v>0</v>
      </c>
      <c r="P7" s="124">
        <f t="shared" si="3"/>
        <v>0</v>
      </c>
      <c r="Q7" s="124">
        <f t="shared" si="3"/>
        <v>48.434782608695649</v>
      </c>
      <c r="R7" s="124">
        <f t="shared" si="3"/>
        <v>47.713043478260872</v>
      </c>
      <c r="S7" s="124">
        <f t="shared" si="3"/>
        <v>52.5</v>
      </c>
      <c r="T7" s="124">
        <f t="shared" si="3"/>
        <v>52.5</v>
      </c>
      <c r="U7" s="124">
        <f>U8+U9+U10+U11+U12+U13+U14+U15</f>
        <v>0</v>
      </c>
      <c r="V7" s="124">
        <f>V8+V9+V10+V11+V12+V13+V14+V15</f>
        <v>0</v>
      </c>
      <c r="W7" s="124">
        <f t="shared" si="3"/>
        <v>0</v>
      </c>
      <c r="X7" s="124">
        <f t="shared" si="3"/>
        <v>0</v>
      </c>
      <c r="Y7" s="124">
        <f>Y8+Y9+Y10+Y11+Y12+Y13+Y14+Y15</f>
        <v>0</v>
      </c>
      <c r="Z7" s="124">
        <f>Z8+Z9+Z10+Z11+Z12+Z13+Z14+Z15</f>
        <v>0</v>
      </c>
      <c r="AA7" s="124">
        <f t="shared" si="3"/>
        <v>62.720000000000006</v>
      </c>
      <c r="AB7" s="124">
        <f t="shared" si="3"/>
        <v>61.44</v>
      </c>
      <c r="AC7" s="124">
        <f t="shared" si="3"/>
        <v>0</v>
      </c>
      <c r="AD7" s="124">
        <f t="shared" si="3"/>
        <v>0</v>
      </c>
    </row>
    <row r="8" spans="1:30" ht="16.5" thickBot="1">
      <c r="B8" s="14" t="s">
        <v>16</v>
      </c>
      <c r="C8" s="121"/>
      <c r="D8" s="155"/>
      <c r="E8" s="141">
        <f t="shared" si="2"/>
        <v>0</v>
      </c>
      <c r="F8" s="142">
        <f t="shared" si="2"/>
        <v>0</v>
      </c>
      <c r="G8" s="156"/>
      <c r="H8" s="23">
        <f>F8/1000*61.1</f>
        <v>0</v>
      </c>
      <c r="I8" s="18">
        <f t="shared" si="0"/>
        <v>0</v>
      </c>
      <c r="J8" s="144">
        <f t="shared" si="1"/>
        <v>0</v>
      </c>
      <c r="K8" s="25"/>
      <c r="L8" s="152"/>
      <c r="M8" s="25"/>
      <c r="N8" s="152"/>
      <c r="O8" s="25"/>
      <c r="P8" s="152"/>
      <c r="Q8" s="25"/>
      <c r="R8" s="152"/>
      <c r="S8" s="3"/>
      <c r="T8" s="153"/>
      <c r="U8" s="2"/>
      <c r="V8" s="154"/>
      <c r="W8" s="2"/>
      <c r="X8" s="154"/>
      <c r="Y8" s="2"/>
      <c r="Z8" s="154"/>
      <c r="AA8" s="2"/>
      <c r="AB8" s="154"/>
      <c r="AC8" s="25"/>
      <c r="AD8" s="152"/>
    </row>
    <row r="9" spans="1:30" ht="16.5" thickBot="1">
      <c r="B9" s="14" t="s">
        <v>17</v>
      </c>
      <c r="C9" s="121"/>
      <c r="D9" s="155"/>
      <c r="E9" s="141">
        <f t="shared" si="2"/>
        <v>0</v>
      </c>
      <c r="F9" s="142">
        <f t="shared" si="2"/>
        <v>0</v>
      </c>
      <c r="G9" s="156"/>
      <c r="H9" s="23">
        <f>E9/1000*51.9</f>
        <v>0</v>
      </c>
      <c r="I9" s="18">
        <f t="shared" si="0"/>
        <v>0</v>
      </c>
      <c r="J9" s="144">
        <f t="shared" si="1"/>
        <v>0</v>
      </c>
      <c r="K9" s="25"/>
      <c r="L9" s="152"/>
      <c r="M9" s="25"/>
      <c r="N9" s="152"/>
      <c r="O9" s="25"/>
      <c r="P9" s="152"/>
      <c r="Q9" s="25"/>
      <c r="R9" s="152"/>
      <c r="S9" s="3"/>
      <c r="T9" s="153"/>
      <c r="U9" s="2"/>
      <c r="V9" s="154"/>
      <c r="W9" s="2"/>
      <c r="X9" s="154"/>
      <c r="Y9" s="2"/>
      <c r="Z9" s="154"/>
      <c r="AA9" s="2"/>
      <c r="AB9" s="154"/>
      <c r="AC9" s="25"/>
      <c r="AD9" s="152"/>
    </row>
    <row r="10" spans="1:30" ht="16.5" thickBot="1">
      <c r="B10" s="14" t="s">
        <v>18</v>
      </c>
      <c r="C10" s="121"/>
      <c r="D10" s="155"/>
      <c r="E10" s="141">
        <f t="shared" si="2"/>
        <v>5.25</v>
      </c>
      <c r="F10" s="142">
        <f t="shared" si="2"/>
        <v>5.25</v>
      </c>
      <c r="G10" s="156"/>
      <c r="H10" s="23">
        <f>E10/1000*74.8</f>
        <v>0.39269999999999999</v>
      </c>
      <c r="I10" s="18">
        <f t="shared" si="0"/>
        <v>52.5</v>
      </c>
      <c r="J10" s="144">
        <f t="shared" si="1"/>
        <v>52.5</v>
      </c>
      <c r="K10" s="25"/>
      <c r="L10" s="152"/>
      <c r="M10" s="25"/>
      <c r="N10" s="152"/>
      <c r="O10" s="25"/>
      <c r="P10" s="152"/>
      <c r="Q10" s="25"/>
      <c r="R10" s="152"/>
      <c r="S10" s="3">
        <f>[15]Лист1!$C$38</f>
        <v>52.5</v>
      </c>
      <c r="T10" s="153">
        <f>[15]Лист1!$D$38</f>
        <v>52.5</v>
      </c>
      <c r="U10" s="2"/>
      <c r="V10" s="154"/>
      <c r="W10" s="2"/>
      <c r="X10" s="154"/>
      <c r="Y10" s="2"/>
      <c r="Z10" s="154"/>
      <c r="AA10" s="2"/>
      <c r="AB10" s="154"/>
      <c r="AC10" s="25"/>
      <c r="AD10" s="152"/>
    </row>
    <row r="11" spans="1:30" ht="16.5" thickBot="1">
      <c r="B11" s="14" t="s">
        <v>19</v>
      </c>
      <c r="C11" s="121"/>
      <c r="D11" s="155"/>
      <c r="E11" s="141">
        <f t="shared" si="2"/>
        <v>1.333</v>
      </c>
      <c r="F11" s="142">
        <f t="shared" si="2"/>
        <v>1.333</v>
      </c>
      <c r="G11" s="156"/>
      <c r="H11" s="23">
        <f>E11/1000*48.4</f>
        <v>6.4517199999999997E-2</v>
      </c>
      <c r="I11" s="18">
        <f t="shared" si="0"/>
        <v>13.33</v>
      </c>
      <c r="J11" s="144">
        <f t="shared" si="1"/>
        <v>13.33</v>
      </c>
      <c r="K11" s="25"/>
      <c r="L11" s="152"/>
      <c r="M11" s="25">
        <f>[29]Лист1!$C$32</f>
        <v>13.33</v>
      </c>
      <c r="N11" s="152">
        <f>[29]Лист1!$D$32</f>
        <v>13.33</v>
      </c>
      <c r="O11" s="25"/>
      <c r="P11" s="152"/>
      <c r="Q11" s="25"/>
      <c r="R11" s="152"/>
      <c r="S11" s="3"/>
      <c r="T11" s="153"/>
      <c r="U11" s="2"/>
      <c r="V11" s="154"/>
      <c r="W11" s="2"/>
      <c r="X11" s="154"/>
      <c r="Y11" s="2"/>
      <c r="Z11" s="154"/>
      <c r="AA11" s="2"/>
      <c r="AB11" s="154"/>
      <c r="AC11" s="25"/>
      <c r="AD11" s="152"/>
    </row>
    <row r="12" spans="1:30" ht="16.5" thickBot="1">
      <c r="B12" s="14" t="s">
        <v>20</v>
      </c>
      <c r="C12" s="121"/>
      <c r="D12" s="155"/>
      <c r="E12" s="141">
        <f t="shared" si="2"/>
        <v>0</v>
      </c>
      <c r="F12" s="142">
        <f t="shared" si="2"/>
        <v>0</v>
      </c>
      <c r="G12" s="156"/>
      <c r="H12" s="23">
        <f>E12/1000*30.4</f>
        <v>0</v>
      </c>
      <c r="I12" s="18">
        <f t="shared" si="0"/>
        <v>0</v>
      </c>
      <c r="J12" s="144">
        <f t="shared" si="1"/>
        <v>0</v>
      </c>
      <c r="K12" s="25"/>
      <c r="L12" s="152"/>
      <c r="M12" s="25"/>
      <c r="N12" s="152"/>
      <c r="O12" s="25"/>
      <c r="P12" s="152"/>
      <c r="Q12" s="25"/>
      <c r="R12" s="152"/>
      <c r="S12" s="3"/>
      <c r="T12" s="153"/>
      <c r="U12" s="2"/>
      <c r="V12" s="154"/>
      <c r="W12" s="2"/>
      <c r="X12" s="154"/>
      <c r="Y12" s="2"/>
      <c r="Z12" s="154"/>
      <c r="AA12" s="2"/>
      <c r="AB12" s="154"/>
      <c r="AC12" s="25"/>
      <c r="AD12" s="152"/>
    </row>
    <row r="13" spans="1:30" ht="16.5" thickBot="1">
      <c r="B13" s="14" t="s">
        <v>21</v>
      </c>
      <c r="C13" s="121"/>
      <c r="D13" s="155"/>
      <c r="E13" s="141">
        <f t="shared" si="2"/>
        <v>0</v>
      </c>
      <c r="F13" s="142">
        <f t="shared" si="2"/>
        <v>0</v>
      </c>
      <c r="G13" s="156"/>
      <c r="H13" s="23">
        <f>E133/1000*43</f>
        <v>0</v>
      </c>
      <c r="I13" s="18">
        <f t="shared" si="0"/>
        <v>0</v>
      </c>
      <c r="J13" s="144">
        <f t="shared" si="1"/>
        <v>0</v>
      </c>
      <c r="K13" s="25"/>
      <c r="L13" s="152"/>
      <c r="M13" s="25"/>
      <c r="N13" s="152"/>
      <c r="O13" s="25"/>
      <c r="P13" s="152"/>
      <c r="Q13" s="25"/>
      <c r="R13" s="152"/>
      <c r="S13" s="3"/>
      <c r="T13" s="153"/>
      <c r="U13" s="2"/>
      <c r="V13" s="154"/>
      <c r="W13" s="2"/>
      <c r="X13" s="154"/>
      <c r="Y13" s="2"/>
      <c r="Z13" s="154"/>
      <c r="AA13" s="2"/>
      <c r="AB13" s="154"/>
      <c r="AC13" s="25"/>
      <c r="AD13" s="152"/>
    </row>
    <row r="14" spans="1:30" ht="16.5" thickBot="1">
      <c r="B14" s="14" t="s">
        <v>22</v>
      </c>
      <c r="C14" s="121"/>
      <c r="D14" s="155"/>
      <c r="E14" s="141">
        <f t="shared" si="2"/>
        <v>0</v>
      </c>
      <c r="F14" s="142">
        <f t="shared" si="2"/>
        <v>0</v>
      </c>
      <c r="G14" s="156"/>
      <c r="H14" s="23">
        <f>E14/1000*51.9</f>
        <v>0</v>
      </c>
      <c r="I14" s="18">
        <f t="shared" si="0"/>
        <v>0</v>
      </c>
      <c r="J14" s="144">
        <f t="shared" si="1"/>
        <v>0</v>
      </c>
      <c r="K14" s="25"/>
      <c r="L14" s="152"/>
      <c r="M14" s="25"/>
      <c r="N14" s="152"/>
      <c r="O14" s="25"/>
      <c r="P14" s="152"/>
      <c r="Q14" s="25"/>
      <c r="R14" s="152"/>
      <c r="S14" s="3"/>
      <c r="T14" s="153"/>
      <c r="U14" s="2"/>
      <c r="V14" s="154"/>
      <c r="W14" s="2"/>
      <c r="X14" s="154"/>
      <c r="Y14" s="2"/>
      <c r="Z14" s="154"/>
      <c r="AA14" s="2"/>
      <c r="AB14" s="154"/>
      <c r="AC14" s="25"/>
      <c r="AD14" s="152"/>
    </row>
    <row r="15" spans="1:30" ht="16.5" thickBot="1">
      <c r="B15" s="14" t="s">
        <v>23</v>
      </c>
      <c r="C15" s="121"/>
      <c r="D15" s="155"/>
      <c r="E15" s="141">
        <f t="shared" si="2"/>
        <v>16.665478260869566</v>
      </c>
      <c r="F15" s="142">
        <f t="shared" si="2"/>
        <v>16.415304347826087</v>
      </c>
      <c r="G15" s="156"/>
      <c r="H15" s="23">
        <f>E15/1000*119.2</f>
        <v>1.9865250086956523</v>
      </c>
      <c r="I15" s="18">
        <f t="shared" si="0"/>
        <v>166.65478260869565</v>
      </c>
      <c r="J15" s="144">
        <f t="shared" si="1"/>
        <v>164.15304347826088</v>
      </c>
      <c r="K15" s="25">
        <f>[1]Лист1!$C$26</f>
        <v>55.5</v>
      </c>
      <c r="L15" s="152">
        <f>[1]Лист1!$D$26</f>
        <v>55</v>
      </c>
      <c r="M15" s="25"/>
      <c r="N15" s="152"/>
      <c r="O15" s="25"/>
      <c r="P15" s="152"/>
      <c r="Q15" s="25">
        <f>[30]Лист1!$C$46</f>
        <v>48.434782608695649</v>
      </c>
      <c r="R15" s="152">
        <f>[30]Лист1!$D$46</f>
        <v>47.713043478260872</v>
      </c>
      <c r="S15" s="3"/>
      <c r="T15" s="153"/>
      <c r="U15" s="2"/>
      <c r="V15" s="154"/>
      <c r="W15" s="2"/>
      <c r="X15" s="154"/>
      <c r="Y15" s="2"/>
      <c r="Z15" s="154"/>
      <c r="AA15" s="2">
        <f>[25]Лист1!$C$45</f>
        <v>62.720000000000006</v>
      </c>
      <c r="AB15" s="154">
        <f>[25]Лист1!$D$45</f>
        <v>61.44</v>
      </c>
      <c r="AC15" s="25"/>
      <c r="AD15" s="152"/>
    </row>
    <row r="16" spans="1:30" ht="16.5" thickBot="1">
      <c r="B16" s="15" t="s">
        <v>24</v>
      </c>
      <c r="C16" s="149">
        <v>20</v>
      </c>
      <c r="D16" s="155">
        <f>C16*20/100</f>
        <v>4</v>
      </c>
      <c r="E16" s="141">
        <f t="shared" si="2"/>
        <v>6.2</v>
      </c>
      <c r="F16" s="142">
        <f t="shared" si="2"/>
        <v>6.2</v>
      </c>
      <c r="G16" s="157">
        <f>F16*20/D16</f>
        <v>31</v>
      </c>
      <c r="H16" s="23">
        <f>E16/1000*66.5</f>
        <v>0.4123</v>
      </c>
      <c r="I16" s="18">
        <f t="shared" si="0"/>
        <v>62</v>
      </c>
      <c r="J16" s="144">
        <f t="shared" si="1"/>
        <v>62</v>
      </c>
      <c r="K16" s="25"/>
      <c r="L16" s="152"/>
      <c r="M16" s="25"/>
      <c r="N16" s="152"/>
      <c r="O16" s="25"/>
      <c r="P16" s="152"/>
      <c r="Q16" s="25"/>
      <c r="R16" s="152"/>
      <c r="S16" s="3"/>
      <c r="T16" s="153"/>
      <c r="U16" s="2"/>
      <c r="V16" s="154"/>
      <c r="W16" s="2"/>
      <c r="X16" s="154"/>
      <c r="Y16" s="2">
        <f>[31]Лист1!$C$36</f>
        <v>62</v>
      </c>
      <c r="Z16" s="154">
        <f>[31]Лист1!$D$36</f>
        <v>62</v>
      </c>
      <c r="AA16" s="2"/>
      <c r="AB16" s="154"/>
      <c r="AC16" s="25"/>
      <c r="AD16" s="152"/>
    </row>
    <row r="17" spans="2:30" ht="16.5" thickBot="1">
      <c r="B17" s="13" t="s">
        <v>25</v>
      </c>
      <c r="C17" s="149">
        <v>187</v>
      </c>
      <c r="D17" s="155">
        <f>C17*20/100</f>
        <v>37.4</v>
      </c>
      <c r="E17" s="141">
        <f t="shared" si="2"/>
        <v>44.08</v>
      </c>
      <c r="F17" s="142">
        <f t="shared" si="2"/>
        <v>33.06</v>
      </c>
      <c r="G17" s="157">
        <f>F17*20/D17</f>
        <v>17.679144385026738</v>
      </c>
      <c r="H17" s="23">
        <f>E17/1000*34</f>
        <v>1.4987200000000001</v>
      </c>
      <c r="I17" s="18">
        <f t="shared" si="0"/>
        <v>440.8</v>
      </c>
      <c r="J17" s="144">
        <f t="shared" si="1"/>
        <v>330.6</v>
      </c>
      <c r="K17" s="25"/>
      <c r="L17" s="152"/>
      <c r="M17" s="25"/>
      <c r="N17" s="152"/>
      <c r="O17" s="25"/>
      <c r="P17" s="152"/>
      <c r="Q17" s="25"/>
      <c r="R17" s="152"/>
      <c r="S17" s="3"/>
      <c r="T17" s="153"/>
      <c r="U17" s="2"/>
      <c r="V17" s="154"/>
      <c r="W17" s="2">
        <f>[21]Лист1!$C$36</f>
        <v>232</v>
      </c>
      <c r="X17" s="154">
        <f>[21]Лист1!$D$36</f>
        <v>174</v>
      </c>
      <c r="Y17" s="2"/>
      <c r="Z17" s="154"/>
      <c r="AA17" s="2"/>
      <c r="AB17" s="154"/>
      <c r="AC17" s="25">
        <f>[28]Лист1!$C$24</f>
        <v>208.8</v>
      </c>
      <c r="AD17" s="152">
        <f>[28]Лист1!$D$24</f>
        <v>156.6</v>
      </c>
    </row>
    <row r="18" spans="2:30" ht="16.5" thickBot="1">
      <c r="B18" s="13" t="s">
        <v>26</v>
      </c>
      <c r="C18" s="149">
        <v>320</v>
      </c>
      <c r="D18" s="155">
        <f>C18*20/100</f>
        <v>64</v>
      </c>
      <c r="E18" s="141">
        <f t="shared" si="2"/>
        <v>58.260130434782603</v>
      </c>
      <c r="F18" s="142">
        <f t="shared" si="2"/>
        <v>43.689430434782608</v>
      </c>
      <c r="G18" s="157">
        <f>F18*20/D18</f>
        <v>13.652947010869564</v>
      </c>
      <c r="H18" s="23"/>
      <c r="I18" s="18">
        <f t="shared" si="0"/>
        <v>582.60130434782604</v>
      </c>
      <c r="J18" s="144">
        <f t="shared" si="1"/>
        <v>436.89430434782611</v>
      </c>
      <c r="K18" s="124">
        <f>K19+K20+K21+K22+K23+K24+K25+K26+K27+K28+K29</f>
        <v>36</v>
      </c>
      <c r="L18" s="124">
        <f t="shared" ref="L18:AD18" si="4">L19+L20+L21+L22+L23+L24+L25+L26+L27+L28+L29</f>
        <v>28.6</v>
      </c>
      <c r="M18" s="124">
        <f t="shared" si="4"/>
        <v>0</v>
      </c>
      <c r="N18" s="124">
        <f t="shared" si="4"/>
        <v>0</v>
      </c>
      <c r="O18" s="124">
        <f t="shared" si="4"/>
        <v>171.8</v>
      </c>
      <c r="P18" s="124">
        <f t="shared" si="4"/>
        <v>124</v>
      </c>
      <c r="Q18" s="124">
        <f t="shared" si="4"/>
        <v>137.19130434782608</v>
      </c>
      <c r="R18" s="124">
        <f t="shared" si="4"/>
        <v>123.19130434782609</v>
      </c>
      <c r="S18" s="124">
        <f t="shared" si="4"/>
        <v>0</v>
      </c>
      <c r="T18" s="124">
        <f t="shared" si="4"/>
        <v>0</v>
      </c>
      <c r="U18" s="124">
        <f>U19+U20+U21+U22+U23+U24+U25+U26+U27+U28+U29</f>
        <v>0</v>
      </c>
      <c r="V18" s="124">
        <f>V19+V20+V21+V22+V23+V24+V25+V26+V27+V28+V29</f>
        <v>0</v>
      </c>
      <c r="W18" s="124">
        <f t="shared" si="4"/>
        <v>18.7</v>
      </c>
      <c r="X18" s="124">
        <f t="shared" si="4"/>
        <v>16.61</v>
      </c>
      <c r="Y18" s="124">
        <f>Y19+Y20+Y21+Y22+Y23+Y24+Y25+Y26+Y27+Y28+Y29</f>
        <v>0</v>
      </c>
      <c r="Z18" s="124">
        <f>Z19+Z20+Z21+Z22+Z23+Z24+Z25+Z26+Z27+Z28+Z29</f>
        <v>0</v>
      </c>
      <c r="AA18" s="124">
        <f t="shared" si="4"/>
        <v>215.16</v>
      </c>
      <c r="AB18" s="124">
        <f t="shared" si="4"/>
        <v>141.36799999999999</v>
      </c>
      <c r="AC18" s="124">
        <f t="shared" si="4"/>
        <v>3.75</v>
      </c>
      <c r="AD18" s="124">
        <f t="shared" si="4"/>
        <v>3.125</v>
      </c>
    </row>
    <row r="19" spans="2:30" ht="16.5" thickBot="1">
      <c r="B19" s="14" t="s">
        <v>27</v>
      </c>
      <c r="C19" s="121"/>
      <c r="D19" s="155"/>
      <c r="E19" s="141">
        <f t="shared" si="2"/>
        <v>8.2503130434782612</v>
      </c>
      <c r="F19" s="142">
        <f t="shared" si="2"/>
        <v>6.236478260869565</v>
      </c>
      <c r="G19" s="156"/>
      <c r="H19" s="23">
        <f>E19/1000*39.6</f>
        <v>0.32671239652173917</v>
      </c>
      <c r="I19" s="18">
        <f t="shared" si="0"/>
        <v>82.503130434782605</v>
      </c>
      <c r="J19" s="144">
        <f t="shared" si="1"/>
        <v>62.364782608695648</v>
      </c>
      <c r="K19" s="25">
        <f>[2]Лист1!$C$31</f>
        <v>26</v>
      </c>
      <c r="L19" s="152">
        <f>[2]Лист1!$D$31</f>
        <v>20.2</v>
      </c>
      <c r="M19" s="25"/>
      <c r="N19" s="152"/>
      <c r="O19" s="25"/>
      <c r="P19" s="152"/>
      <c r="Q19" s="25">
        <f>[30]Лист1!$C$48</f>
        <v>21.739130434782609</v>
      </c>
      <c r="R19" s="152">
        <f>[30]Лист1!$D$48</f>
        <v>15.434782608695652</v>
      </c>
      <c r="S19" s="3"/>
      <c r="T19" s="153"/>
      <c r="U19" s="2"/>
      <c r="V19" s="154"/>
      <c r="W19" s="2">
        <f>[20]Лист1!$C$31</f>
        <v>5.5</v>
      </c>
      <c r="X19" s="154">
        <f>[20]Лист1!$D$31</f>
        <v>4.29</v>
      </c>
      <c r="Y19" s="2"/>
      <c r="Z19" s="154"/>
      <c r="AA19" s="2">
        <f>[25]Лист1!$C$51</f>
        <v>29.263999999999999</v>
      </c>
      <c r="AB19" s="154">
        <f>[25]Лист1!$D$51</f>
        <v>22.44</v>
      </c>
      <c r="AC19" s="25"/>
      <c r="AD19" s="152"/>
    </row>
    <row r="20" spans="2:30" ht="16.5" thickBot="1">
      <c r="B20" s="14" t="s">
        <v>28</v>
      </c>
      <c r="C20" s="121"/>
      <c r="D20" s="155"/>
      <c r="E20" s="141">
        <f t="shared" si="2"/>
        <v>9.4580782608695646</v>
      </c>
      <c r="F20" s="142">
        <f t="shared" si="2"/>
        <v>5.8746043478260876</v>
      </c>
      <c r="G20" s="156"/>
      <c r="H20" s="23">
        <f>E20/1000*35.4</f>
        <v>0.33481597043478256</v>
      </c>
      <c r="I20" s="18">
        <f t="shared" si="0"/>
        <v>94.580782608695642</v>
      </c>
      <c r="J20" s="144">
        <f t="shared" si="1"/>
        <v>58.746043478260873</v>
      </c>
      <c r="K20" s="25">
        <f>[2]Лист1!$C$34</f>
        <v>10</v>
      </c>
      <c r="L20" s="152">
        <f>[2]Лист1!$D$34</f>
        <v>8.4</v>
      </c>
      <c r="M20" s="25"/>
      <c r="N20" s="152"/>
      <c r="O20" s="25">
        <f>[32]Лист1!$C$47</f>
        <v>24</v>
      </c>
      <c r="P20" s="152">
        <f>[32]Лист1!$D$47</f>
        <v>20.16</v>
      </c>
      <c r="Q20" s="25">
        <f>[30]Лист1!$C$49</f>
        <v>8.4347826086956506</v>
      </c>
      <c r="R20" s="152">
        <f>[30]Лист1!$D$49</f>
        <v>3.5130434782608697</v>
      </c>
      <c r="S20" s="3"/>
      <c r="T20" s="153"/>
      <c r="U20" s="2"/>
      <c r="V20" s="154"/>
      <c r="W20" s="2">
        <f>[20]Лист1!$C$32</f>
        <v>5.5</v>
      </c>
      <c r="X20" s="154">
        <f>[20]Лист1!$D$32</f>
        <v>4.62</v>
      </c>
      <c r="Y20" s="2"/>
      <c r="Z20" s="154"/>
      <c r="AA20" s="2">
        <f>[24]Лист1!$C$27+[25]Лист1!$C$52</f>
        <v>42.896000000000001</v>
      </c>
      <c r="AB20" s="154">
        <f>[24]Лист1!$D$27+[25]Лист1!$D$52</f>
        <v>18.928000000000001</v>
      </c>
      <c r="AC20" s="25">
        <f>[27]Лист1!$C$27</f>
        <v>3.75</v>
      </c>
      <c r="AD20" s="152">
        <f>[27]Лист1!$D$27</f>
        <v>3.125</v>
      </c>
    </row>
    <row r="21" spans="2:30" ht="16.5" thickBot="1">
      <c r="B21" s="14" t="s">
        <v>114</v>
      </c>
      <c r="C21" s="121"/>
      <c r="D21" s="155"/>
      <c r="E21" s="141">
        <f t="shared" si="2"/>
        <v>0</v>
      </c>
      <c r="F21" s="142">
        <f t="shared" si="2"/>
        <v>0</v>
      </c>
      <c r="G21" s="156"/>
      <c r="H21" s="23">
        <f>E21/1000*35.3</f>
        <v>0</v>
      </c>
      <c r="I21" s="18">
        <f t="shared" si="0"/>
        <v>0</v>
      </c>
      <c r="J21" s="144">
        <f t="shared" si="1"/>
        <v>0</v>
      </c>
      <c r="K21" s="25"/>
      <c r="L21" s="152"/>
      <c r="M21" s="25"/>
      <c r="N21" s="152"/>
      <c r="O21" s="25"/>
      <c r="P21" s="152"/>
      <c r="Q21" s="25"/>
      <c r="R21" s="152"/>
      <c r="S21" s="3"/>
      <c r="T21" s="153"/>
      <c r="U21" s="2"/>
      <c r="V21" s="154"/>
      <c r="W21" s="2"/>
      <c r="X21" s="154"/>
      <c r="Y21" s="2"/>
      <c r="Z21" s="154"/>
      <c r="AA21" s="2"/>
      <c r="AB21" s="154"/>
      <c r="AC21" s="25"/>
      <c r="AD21" s="152"/>
    </row>
    <row r="22" spans="2:30" ht="16.5" thickBot="1">
      <c r="B22" s="14" t="s">
        <v>113</v>
      </c>
      <c r="C22" s="121"/>
      <c r="D22" s="155"/>
      <c r="E22" s="141">
        <f t="shared" si="2"/>
        <v>28.6</v>
      </c>
      <c r="F22" s="142">
        <f t="shared" si="2"/>
        <v>20</v>
      </c>
      <c r="G22" s="156"/>
      <c r="H22" s="23">
        <f>E22/1000*120.3</f>
        <v>3.4405799999999997</v>
      </c>
      <c r="I22" s="18">
        <f t="shared" si="0"/>
        <v>286</v>
      </c>
      <c r="J22" s="144">
        <f t="shared" si="1"/>
        <v>200</v>
      </c>
      <c r="K22" s="25"/>
      <c r="L22" s="152"/>
      <c r="M22" s="25"/>
      <c r="N22" s="152"/>
      <c r="O22" s="25">
        <f>[8]Лист1!$C$39</f>
        <v>143</v>
      </c>
      <c r="P22" s="152">
        <f>[8]Лист1!$D$39</f>
        <v>100</v>
      </c>
      <c r="Q22" s="25"/>
      <c r="R22" s="152"/>
      <c r="S22" s="3"/>
      <c r="T22" s="153"/>
      <c r="U22" s="2"/>
      <c r="V22" s="154"/>
      <c r="W22" s="2"/>
      <c r="X22" s="154"/>
      <c r="Y22" s="2"/>
      <c r="Z22" s="154"/>
      <c r="AA22" s="2">
        <f>[8]Лист1!$C$39</f>
        <v>143</v>
      </c>
      <c r="AB22" s="154">
        <f>[8]Лист1!$D$39</f>
        <v>100</v>
      </c>
      <c r="AC22" s="25"/>
      <c r="AD22" s="152"/>
    </row>
    <row r="23" spans="2:30" ht="16.5" thickBot="1">
      <c r="B23" s="14" t="s">
        <v>122</v>
      </c>
      <c r="C23" s="121"/>
      <c r="D23" s="155"/>
      <c r="E23" s="141">
        <f t="shared" si="2"/>
        <v>0</v>
      </c>
      <c r="F23" s="142">
        <f t="shared" si="2"/>
        <v>0</v>
      </c>
      <c r="G23" s="156"/>
      <c r="H23" s="23">
        <f>E23/1000*135</f>
        <v>0</v>
      </c>
      <c r="I23" s="18">
        <f t="shared" si="0"/>
        <v>0</v>
      </c>
      <c r="J23" s="144">
        <f t="shared" si="1"/>
        <v>0</v>
      </c>
      <c r="K23" s="25"/>
      <c r="L23" s="152"/>
      <c r="M23" s="25"/>
      <c r="N23" s="152"/>
      <c r="O23" s="25"/>
      <c r="P23" s="152"/>
      <c r="Q23" s="25"/>
      <c r="R23" s="152"/>
      <c r="S23" s="3"/>
      <c r="T23" s="153"/>
      <c r="U23" s="2"/>
      <c r="V23" s="154"/>
      <c r="W23" s="2"/>
      <c r="X23" s="154"/>
      <c r="Y23" s="2"/>
      <c r="Z23" s="154"/>
      <c r="AA23" s="2"/>
      <c r="AB23" s="154"/>
      <c r="AC23" s="25"/>
      <c r="AD23" s="152"/>
    </row>
    <row r="24" spans="2:30" ht="16.5" thickBot="1">
      <c r="B24" s="14" t="s">
        <v>123</v>
      </c>
      <c r="C24" s="121"/>
      <c r="D24" s="155"/>
      <c r="E24" s="141">
        <f t="shared" si="2"/>
        <v>0</v>
      </c>
      <c r="F24" s="142">
        <f t="shared" si="2"/>
        <v>0</v>
      </c>
      <c r="G24" s="156"/>
      <c r="H24" s="23">
        <f>E24/1000*154.3</f>
        <v>0</v>
      </c>
      <c r="I24" s="18">
        <f t="shared" si="0"/>
        <v>0</v>
      </c>
      <c r="J24" s="144">
        <f t="shared" si="1"/>
        <v>0</v>
      </c>
      <c r="K24" s="25"/>
      <c r="L24" s="152"/>
      <c r="M24" s="25"/>
      <c r="N24" s="152"/>
      <c r="O24" s="25"/>
      <c r="P24" s="152"/>
      <c r="Q24" s="25"/>
      <c r="R24" s="152"/>
      <c r="S24" s="3"/>
      <c r="T24" s="153"/>
      <c r="U24" s="2"/>
      <c r="V24" s="154"/>
      <c r="W24" s="2"/>
      <c r="X24" s="154"/>
      <c r="Y24" s="2"/>
      <c r="Z24" s="154"/>
      <c r="AA24" s="2"/>
      <c r="AB24" s="154"/>
      <c r="AC24" s="25"/>
      <c r="AD24" s="152"/>
    </row>
    <row r="25" spans="2:30" ht="16.5" thickBot="1">
      <c r="B25" s="14" t="s">
        <v>29</v>
      </c>
      <c r="C25" s="121"/>
      <c r="D25" s="155"/>
      <c r="E25" s="141">
        <f t="shared" si="2"/>
        <v>0</v>
      </c>
      <c r="F25" s="142">
        <f t="shared" si="2"/>
        <v>0</v>
      </c>
      <c r="G25" s="156"/>
      <c r="H25" s="23">
        <f>E25/1000*35.6</f>
        <v>0</v>
      </c>
      <c r="I25" s="18">
        <f t="shared" si="0"/>
        <v>0</v>
      </c>
      <c r="J25" s="144">
        <f t="shared" si="1"/>
        <v>0</v>
      </c>
      <c r="K25" s="25"/>
      <c r="L25" s="152"/>
      <c r="M25" s="25"/>
      <c r="N25" s="152"/>
      <c r="O25" s="25"/>
      <c r="P25" s="152"/>
      <c r="Q25" s="25"/>
      <c r="R25" s="152"/>
      <c r="S25" s="3"/>
      <c r="T25" s="153"/>
      <c r="U25" s="2"/>
      <c r="V25" s="154"/>
      <c r="W25" s="2"/>
      <c r="X25" s="154"/>
      <c r="Y25" s="2"/>
      <c r="Z25" s="154"/>
      <c r="AA25" s="2"/>
      <c r="AB25" s="154"/>
      <c r="AC25" s="25"/>
      <c r="AD25" s="152"/>
    </row>
    <row r="26" spans="2:30" ht="16.5" thickBot="1">
      <c r="B26" s="14" t="s">
        <v>30</v>
      </c>
      <c r="C26" s="121"/>
      <c r="D26" s="155"/>
      <c r="E26" s="141">
        <f t="shared" si="2"/>
        <v>1.4717391304347827</v>
      </c>
      <c r="F26" s="142">
        <f t="shared" si="2"/>
        <v>1.1943478260869564</v>
      </c>
      <c r="G26" s="156"/>
      <c r="H26" s="23">
        <f>E26/1000*160.1</f>
        <v>0.23562543478260869</v>
      </c>
      <c r="I26" s="18">
        <f t="shared" si="0"/>
        <v>14.717391304347826</v>
      </c>
      <c r="J26" s="144">
        <f t="shared" si="1"/>
        <v>11.943478260869565</v>
      </c>
      <c r="K26" s="25"/>
      <c r="L26" s="152"/>
      <c r="M26" s="25"/>
      <c r="N26" s="152"/>
      <c r="O26" s="25"/>
      <c r="P26" s="152"/>
      <c r="Q26" s="25">
        <f>[30]Лист1!$C$50</f>
        <v>7.017391304347826</v>
      </c>
      <c r="R26" s="152">
        <f>[30]Лист1!$D$50</f>
        <v>4.2434782608695656</v>
      </c>
      <c r="S26" s="3"/>
      <c r="T26" s="153"/>
      <c r="U26" s="2"/>
      <c r="V26" s="154"/>
      <c r="W26" s="2">
        <f>[20]Лист1!$C$29</f>
        <v>7.7</v>
      </c>
      <c r="X26" s="154">
        <f>[20]Лист1!$D$29</f>
        <v>7.7</v>
      </c>
      <c r="Y26" s="2"/>
      <c r="Z26" s="154"/>
      <c r="AA26" s="2"/>
      <c r="AB26" s="154"/>
      <c r="AC26" s="25"/>
      <c r="AD26" s="152"/>
    </row>
    <row r="27" spans="2:30" ht="16.5" thickBot="1">
      <c r="B27" s="14" t="s">
        <v>31</v>
      </c>
      <c r="C27" s="121"/>
      <c r="D27" s="155"/>
      <c r="E27" s="141">
        <f t="shared" si="2"/>
        <v>0</v>
      </c>
      <c r="F27" s="142">
        <f t="shared" si="2"/>
        <v>0</v>
      </c>
      <c r="G27" s="156"/>
      <c r="H27" s="23">
        <f>E27/1000*209.2</f>
        <v>0</v>
      </c>
      <c r="I27" s="18">
        <f t="shared" si="0"/>
        <v>0</v>
      </c>
      <c r="J27" s="144">
        <f t="shared" si="1"/>
        <v>0</v>
      </c>
      <c r="K27" s="25"/>
      <c r="L27" s="152"/>
      <c r="M27" s="25"/>
      <c r="N27" s="152"/>
      <c r="O27" s="25"/>
      <c r="P27" s="152"/>
      <c r="Q27" s="25"/>
      <c r="R27" s="152"/>
      <c r="S27" s="3"/>
      <c r="T27" s="153"/>
      <c r="U27" s="2"/>
      <c r="V27" s="154"/>
      <c r="W27" s="2"/>
      <c r="X27" s="154"/>
      <c r="Y27" s="2"/>
      <c r="Z27" s="154"/>
      <c r="AA27" s="2"/>
      <c r="AB27" s="154"/>
      <c r="AC27" s="25"/>
      <c r="AD27" s="152"/>
    </row>
    <row r="28" spans="2:30" ht="16.5" thickBot="1">
      <c r="B28" s="14" t="s">
        <v>32</v>
      </c>
      <c r="C28" s="121"/>
      <c r="D28" s="155"/>
      <c r="E28" s="141">
        <f t="shared" si="2"/>
        <v>10</v>
      </c>
      <c r="F28" s="142">
        <f t="shared" si="2"/>
        <v>10</v>
      </c>
      <c r="G28" s="156"/>
      <c r="H28" s="23">
        <f>E28/1000*129.8</f>
        <v>1.298</v>
      </c>
      <c r="I28" s="18">
        <f t="shared" si="0"/>
        <v>100</v>
      </c>
      <c r="J28" s="144">
        <f t="shared" si="1"/>
        <v>100</v>
      </c>
      <c r="K28" s="25"/>
      <c r="L28" s="152"/>
      <c r="M28" s="25"/>
      <c r="N28" s="152"/>
      <c r="O28" s="25"/>
      <c r="P28" s="152"/>
      <c r="Q28" s="25">
        <f>'4 день  '!D6</f>
        <v>100</v>
      </c>
      <c r="R28" s="152">
        <f>'4 день  '!D6</f>
        <v>100</v>
      </c>
      <c r="S28" s="3"/>
      <c r="T28" s="153"/>
      <c r="U28" s="2"/>
      <c r="V28" s="154"/>
      <c r="W28" s="2"/>
      <c r="X28" s="154"/>
      <c r="Y28" s="2"/>
      <c r="Z28" s="154"/>
      <c r="AA28" s="2"/>
      <c r="AB28" s="154"/>
      <c r="AC28" s="25"/>
      <c r="AD28" s="152"/>
    </row>
    <row r="29" spans="2:30" ht="16.5" thickBot="1">
      <c r="B29" s="14" t="s">
        <v>33</v>
      </c>
      <c r="C29" s="121"/>
      <c r="D29" s="155"/>
      <c r="E29" s="141">
        <f t="shared" si="2"/>
        <v>0.48</v>
      </c>
      <c r="F29" s="142">
        <f t="shared" si="2"/>
        <v>0.38400000000000001</v>
      </c>
      <c r="G29" s="156"/>
      <c r="H29" s="23">
        <f>E29/1000*0</f>
        <v>0</v>
      </c>
      <c r="I29" s="18">
        <f t="shared" si="0"/>
        <v>4.8</v>
      </c>
      <c r="J29" s="144">
        <f t="shared" si="1"/>
        <v>3.84</v>
      </c>
      <c r="K29" s="25"/>
      <c r="L29" s="152"/>
      <c r="M29" s="25"/>
      <c r="N29" s="152"/>
      <c r="O29" s="25">
        <f>[32]Лист1!$C$51</f>
        <v>4.8</v>
      </c>
      <c r="P29" s="152">
        <f>[32]Лист1!$D$51</f>
        <v>3.84</v>
      </c>
      <c r="Q29" s="25"/>
      <c r="R29" s="152"/>
      <c r="S29" s="3"/>
      <c r="T29" s="153"/>
      <c r="U29" s="2"/>
      <c r="V29" s="154"/>
      <c r="W29" s="2"/>
      <c r="X29" s="154"/>
      <c r="Y29" s="2"/>
      <c r="Z29" s="154"/>
      <c r="AA29" s="2"/>
      <c r="AB29" s="154"/>
      <c r="AC29" s="25"/>
      <c r="AD29" s="152"/>
    </row>
    <row r="30" spans="2:30" ht="16.5" thickBot="1">
      <c r="B30" s="13" t="s">
        <v>34</v>
      </c>
      <c r="C30" s="149">
        <v>185</v>
      </c>
      <c r="D30" s="155">
        <f>C30*20/100</f>
        <v>37</v>
      </c>
      <c r="E30" s="141">
        <f t="shared" si="2"/>
        <v>34.200000000000003</v>
      </c>
      <c r="F30" s="142">
        <f t="shared" si="2"/>
        <v>30</v>
      </c>
      <c r="G30" s="157">
        <f>F30*20/D30</f>
        <v>16.216216216216218</v>
      </c>
      <c r="H30" s="23"/>
      <c r="I30" s="18">
        <f t="shared" si="0"/>
        <v>342</v>
      </c>
      <c r="J30" s="144">
        <f t="shared" si="1"/>
        <v>300</v>
      </c>
      <c r="K30" s="124">
        <f>K31+K32+K33+K35+K36+K37+K34</f>
        <v>0</v>
      </c>
      <c r="L30" s="124">
        <f t="shared" ref="L30:AD30" si="5">L31+L32+L33+L35+L36+L37+L34</f>
        <v>0</v>
      </c>
      <c r="M30" s="124">
        <f t="shared" si="5"/>
        <v>114</v>
      </c>
      <c r="N30" s="124">
        <f t="shared" si="5"/>
        <v>100</v>
      </c>
      <c r="O30" s="124">
        <f t="shared" si="5"/>
        <v>0</v>
      </c>
      <c r="P30" s="124">
        <f t="shared" si="5"/>
        <v>0</v>
      </c>
      <c r="Q30" s="124">
        <f t="shared" si="5"/>
        <v>114</v>
      </c>
      <c r="R30" s="124">
        <f t="shared" si="5"/>
        <v>100</v>
      </c>
      <c r="S30" s="124">
        <f t="shared" si="5"/>
        <v>0</v>
      </c>
      <c r="T30" s="124">
        <f t="shared" si="5"/>
        <v>0</v>
      </c>
      <c r="U30" s="124">
        <f>U31+U32+U33+U35+U36+U37+U34</f>
        <v>0</v>
      </c>
      <c r="V30" s="124">
        <f>V31+V32+V33+V35+V36+V37+V34</f>
        <v>0</v>
      </c>
      <c r="W30" s="124">
        <f t="shared" si="5"/>
        <v>0</v>
      </c>
      <c r="X30" s="124">
        <f t="shared" si="5"/>
        <v>0</v>
      </c>
      <c r="Y30" s="124">
        <f>Y31+Y32+Y33+Y35+Y36+Y37+Y34</f>
        <v>0</v>
      </c>
      <c r="Z30" s="124">
        <f>Z31+Z32+Z33+Z35+Z36+Z37+Z34</f>
        <v>0</v>
      </c>
      <c r="AA30" s="124">
        <f t="shared" si="5"/>
        <v>0</v>
      </c>
      <c r="AB30" s="124">
        <f t="shared" si="5"/>
        <v>0</v>
      </c>
      <c r="AC30" s="124">
        <f t="shared" si="5"/>
        <v>114</v>
      </c>
      <c r="AD30" s="124">
        <f t="shared" si="5"/>
        <v>100</v>
      </c>
    </row>
    <row r="31" spans="2:30" ht="16.5" thickBot="1">
      <c r="B31" s="28" t="s">
        <v>95</v>
      </c>
      <c r="C31" s="121"/>
      <c r="D31" s="155"/>
      <c r="E31" s="141">
        <f t="shared" si="2"/>
        <v>0</v>
      </c>
      <c r="F31" s="142">
        <f t="shared" si="2"/>
        <v>0</v>
      </c>
      <c r="G31" s="156"/>
      <c r="H31" s="23">
        <f>E31/1000*156.3</f>
        <v>0</v>
      </c>
      <c r="I31" s="18">
        <f t="shared" si="0"/>
        <v>0</v>
      </c>
      <c r="J31" s="144">
        <f t="shared" si="1"/>
        <v>0</v>
      </c>
      <c r="K31" s="25"/>
      <c r="L31" s="152"/>
      <c r="M31" s="25"/>
      <c r="N31" s="152"/>
      <c r="O31" s="25"/>
      <c r="P31" s="152"/>
      <c r="Q31" s="25"/>
      <c r="R31" s="152"/>
      <c r="S31" s="3"/>
      <c r="T31" s="153"/>
      <c r="U31" s="2"/>
      <c r="V31" s="154"/>
      <c r="W31" s="2"/>
      <c r="X31" s="154"/>
      <c r="Y31" s="2"/>
      <c r="Z31" s="154"/>
      <c r="AA31" s="2"/>
      <c r="AB31" s="154"/>
      <c r="AC31" s="25"/>
      <c r="AD31" s="152"/>
    </row>
    <row r="32" spans="2:30" ht="16.5" thickBot="1">
      <c r="B32" s="28" t="s">
        <v>96</v>
      </c>
      <c r="C32" s="121"/>
      <c r="D32" s="155"/>
      <c r="E32" s="141">
        <f t="shared" si="2"/>
        <v>0</v>
      </c>
      <c r="F32" s="142">
        <f t="shared" si="2"/>
        <v>0</v>
      </c>
      <c r="G32" s="156"/>
      <c r="H32" s="23">
        <f>E32/1000*140.1</f>
        <v>0</v>
      </c>
      <c r="I32" s="18">
        <f t="shared" si="0"/>
        <v>0</v>
      </c>
      <c r="J32" s="144">
        <f t="shared" si="1"/>
        <v>0</v>
      </c>
      <c r="K32" s="25"/>
      <c r="L32" s="152"/>
      <c r="M32" s="25"/>
      <c r="N32" s="152"/>
      <c r="O32" s="25"/>
      <c r="P32" s="152"/>
      <c r="Q32" s="25"/>
      <c r="R32" s="152"/>
      <c r="S32" s="3"/>
      <c r="T32" s="153"/>
      <c r="U32" s="2"/>
      <c r="V32" s="154"/>
      <c r="W32" s="2"/>
      <c r="X32" s="154"/>
      <c r="Y32" s="2"/>
      <c r="Z32" s="154"/>
      <c r="AA32" s="2"/>
      <c r="AB32" s="154"/>
      <c r="AC32" s="25"/>
      <c r="AD32" s="152"/>
    </row>
    <row r="33" spans="2:30" ht="16.5" thickBot="1">
      <c r="B33" s="28" t="s">
        <v>97</v>
      </c>
      <c r="C33" s="121"/>
      <c r="D33" s="155"/>
      <c r="E33" s="141">
        <f t="shared" si="2"/>
        <v>0</v>
      </c>
      <c r="F33" s="142">
        <f t="shared" si="2"/>
        <v>0</v>
      </c>
      <c r="G33" s="156"/>
      <c r="H33" s="23">
        <f>E33/1000*203.1</f>
        <v>0</v>
      </c>
      <c r="I33" s="18">
        <f t="shared" si="0"/>
        <v>0</v>
      </c>
      <c r="J33" s="144">
        <f t="shared" si="1"/>
        <v>0</v>
      </c>
      <c r="K33" s="25"/>
      <c r="L33" s="152"/>
      <c r="M33" s="25"/>
      <c r="N33" s="152"/>
      <c r="O33" s="25"/>
      <c r="P33" s="152"/>
      <c r="Q33" s="25"/>
      <c r="R33" s="152"/>
      <c r="S33" s="3"/>
      <c r="T33" s="153"/>
      <c r="U33" s="2"/>
      <c r="V33" s="154"/>
      <c r="W33" s="2"/>
      <c r="X33" s="154"/>
      <c r="Y33" s="2"/>
      <c r="Z33" s="154"/>
      <c r="AA33" s="2"/>
      <c r="AB33" s="154"/>
      <c r="AC33" s="25"/>
      <c r="AD33" s="152"/>
    </row>
    <row r="34" spans="2:30" ht="16.5" thickBot="1">
      <c r="B34" s="28" t="s">
        <v>138</v>
      </c>
      <c r="C34" s="121"/>
      <c r="D34" s="155"/>
      <c r="E34" s="141">
        <f t="shared" si="2"/>
        <v>0</v>
      </c>
      <c r="F34" s="142">
        <f t="shared" si="2"/>
        <v>0</v>
      </c>
      <c r="G34" s="156"/>
      <c r="H34" s="23">
        <f>E34/1000*288.3</f>
        <v>0</v>
      </c>
      <c r="I34" s="18">
        <f t="shared" si="0"/>
        <v>0</v>
      </c>
      <c r="J34" s="144">
        <f t="shared" si="1"/>
        <v>0</v>
      </c>
      <c r="K34" s="25"/>
      <c r="L34" s="152"/>
      <c r="M34" s="25"/>
      <c r="N34" s="152"/>
      <c r="O34" s="25"/>
      <c r="P34" s="152"/>
      <c r="Q34" s="25"/>
      <c r="R34" s="152"/>
      <c r="S34" s="3"/>
      <c r="T34" s="153"/>
      <c r="U34" s="2"/>
      <c r="V34" s="154"/>
      <c r="W34" s="2"/>
      <c r="X34" s="154"/>
      <c r="Y34" s="2"/>
      <c r="Z34" s="154"/>
      <c r="AA34" s="2"/>
      <c r="AB34" s="154"/>
      <c r="AC34" s="25"/>
      <c r="AD34" s="152"/>
    </row>
    <row r="35" spans="2:30" ht="16.5" thickBot="1">
      <c r="B35" s="28" t="s">
        <v>98</v>
      </c>
      <c r="C35" s="121"/>
      <c r="D35" s="155"/>
      <c r="E35" s="141">
        <f t="shared" si="2"/>
        <v>0</v>
      </c>
      <c r="F35" s="142">
        <f t="shared" si="2"/>
        <v>0</v>
      </c>
      <c r="G35" s="156"/>
      <c r="H35" s="23">
        <f>E35/1000*169</f>
        <v>0</v>
      </c>
      <c r="I35" s="18">
        <f t="shared" si="0"/>
        <v>0</v>
      </c>
      <c r="J35" s="144">
        <f t="shared" si="1"/>
        <v>0</v>
      </c>
      <c r="K35" s="25"/>
      <c r="L35" s="152"/>
      <c r="M35" s="25"/>
      <c r="N35" s="152"/>
      <c r="O35" s="25"/>
      <c r="P35" s="152"/>
      <c r="Q35" s="25"/>
      <c r="R35" s="152"/>
      <c r="S35" s="3"/>
      <c r="T35" s="153"/>
      <c r="U35" s="2"/>
      <c r="V35" s="154"/>
      <c r="W35" s="2"/>
      <c r="X35" s="154"/>
      <c r="Y35" s="2"/>
      <c r="Z35" s="154"/>
      <c r="AA35" s="2"/>
      <c r="AB35" s="154"/>
      <c r="AC35" s="25"/>
      <c r="AD35" s="152"/>
    </row>
    <row r="36" spans="2:30" ht="16.5" thickBot="1">
      <c r="B36" s="28" t="s">
        <v>99</v>
      </c>
      <c r="C36" s="121"/>
      <c r="D36" s="155"/>
      <c r="E36" s="141">
        <f t="shared" si="2"/>
        <v>0</v>
      </c>
      <c r="F36" s="142">
        <f t="shared" si="2"/>
        <v>0</v>
      </c>
      <c r="G36" s="156"/>
      <c r="H36" s="23">
        <f>E36/1000*155.6</f>
        <v>0</v>
      </c>
      <c r="I36" s="18">
        <f t="shared" ref="I36:I68" si="6">K36+M36+O36+Q36+S36+Y36+W36+U36+AA36+AC36</f>
        <v>0</v>
      </c>
      <c r="J36" s="144">
        <f t="shared" ref="J36:J68" si="7">L36+N36+P36+R36+T36+Z36+X36+V36+AB36+AD36</f>
        <v>0</v>
      </c>
      <c r="K36" s="25"/>
      <c r="L36" s="152"/>
      <c r="M36" s="25"/>
      <c r="N36" s="152"/>
      <c r="O36" s="25"/>
      <c r="P36" s="152"/>
      <c r="Q36" s="25"/>
      <c r="R36" s="152"/>
      <c r="S36" s="3"/>
      <c r="T36" s="153"/>
      <c r="U36" s="2"/>
      <c r="V36" s="154"/>
      <c r="W36" s="2"/>
      <c r="X36" s="154"/>
      <c r="Y36" s="2"/>
      <c r="Z36" s="154"/>
      <c r="AA36" s="2"/>
      <c r="AB36" s="154"/>
      <c r="AC36" s="25"/>
      <c r="AD36" s="152"/>
    </row>
    <row r="37" spans="2:30" ht="16.5" thickBot="1">
      <c r="B37" s="28" t="s">
        <v>100</v>
      </c>
      <c r="C37" s="121"/>
      <c r="D37" s="155"/>
      <c r="E37" s="141">
        <f t="shared" si="2"/>
        <v>34.200000000000003</v>
      </c>
      <c r="F37" s="142">
        <f t="shared" si="2"/>
        <v>30</v>
      </c>
      <c r="G37" s="156"/>
      <c r="H37" s="23">
        <f>E37/1000*123.8</f>
        <v>4.2339599999999997</v>
      </c>
      <c r="I37" s="18">
        <f t="shared" si="6"/>
        <v>342</v>
      </c>
      <c r="J37" s="144">
        <f t="shared" si="7"/>
        <v>300</v>
      </c>
      <c r="K37" s="25"/>
      <c r="L37" s="152"/>
      <c r="M37" s="25">
        <f>[33]Лист1!$C$16</f>
        <v>114</v>
      </c>
      <c r="N37" s="152">
        <f>[33]Лист1!$D$16</f>
        <v>100</v>
      </c>
      <c r="O37" s="25"/>
      <c r="P37" s="152"/>
      <c r="Q37" s="25">
        <f>[34]Лист1!$C$16</f>
        <v>114</v>
      </c>
      <c r="R37" s="152">
        <f>[34]Лист1!$D$16</f>
        <v>100</v>
      </c>
      <c r="S37" s="3"/>
      <c r="T37" s="153"/>
      <c r="U37" s="2"/>
      <c r="V37" s="154"/>
      <c r="W37" s="2"/>
      <c r="X37" s="154"/>
      <c r="Y37" s="2"/>
      <c r="Z37" s="154"/>
      <c r="AA37" s="2"/>
      <c r="AB37" s="154"/>
      <c r="AC37" s="25">
        <f>[33]Лист1!$C$16</f>
        <v>114</v>
      </c>
      <c r="AD37" s="152">
        <f>[33]Лист1!$D$16</f>
        <v>100</v>
      </c>
    </row>
    <row r="38" spans="2:30" ht="16.5" thickBot="1">
      <c r="B38" s="13" t="s">
        <v>35</v>
      </c>
      <c r="C38" s="149">
        <v>20</v>
      </c>
      <c r="D38" s="155">
        <f>C38*20/100</f>
        <v>4</v>
      </c>
      <c r="E38" s="141">
        <f t="shared" si="2"/>
        <v>0</v>
      </c>
      <c r="F38" s="142">
        <f t="shared" si="2"/>
        <v>0</v>
      </c>
      <c r="G38" s="157">
        <f>F38*20/D38</f>
        <v>0</v>
      </c>
      <c r="H38" s="23"/>
      <c r="I38" s="18">
        <f t="shared" si="6"/>
        <v>0</v>
      </c>
      <c r="J38" s="144">
        <f t="shared" si="7"/>
        <v>0</v>
      </c>
      <c r="K38" s="124">
        <f>K39+K40+K41+K42</f>
        <v>0</v>
      </c>
      <c r="L38" s="124">
        <f t="shared" ref="L38:AD38" si="8">L39+L40+L41+L42</f>
        <v>0</v>
      </c>
      <c r="M38" s="124">
        <f t="shared" si="8"/>
        <v>0</v>
      </c>
      <c r="N38" s="124">
        <f t="shared" si="8"/>
        <v>0</v>
      </c>
      <c r="O38" s="124">
        <f t="shared" si="8"/>
        <v>0</v>
      </c>
      <c r="P38" s="124">
        <f t="shared" si="8"/>
        <v>0</v>
      </c>
      <c r="Q38" s="124">
        <f t="shared" si="8"/>
        <v>0</v>
      </c>
      <c r="R38" s="124">
        <f t="shared" si="8"/>
        <v>0</v>
      </c>
      <c r="S38" s="124">
        <f t="shared" si="8"/>
        <v>0</v>
      </c>
      <c r="T38" s="124">
        <f t="shared" si="8"/>
        <v>0</v>
      </c>
      <c r="U38" s="124">
        <f>U39+U40+U41+U42</f>
        <v>0</v>
      </c>
      <c r="V38" s="124">
        <f>V39+V40+V41+V42</f>
        <v>0</v>
      </c>
      <c r="W38" s="124">
        <f t="shared" si="8"/>
        <v>0</v>
      </c>
      <c r="X38" s="124">
        <f t="shared" si="8"/>
        <v>0</v>
      </c>
      <c r="Y38" s="124">
        <f>Y39+Y40+Y41+Y42</f>
        <v>0</v>
      </c>
      <c r="Z38" s="124">
        <f>Z39+Z40+Z41+Z42</f>
        <v>0</v>
      </c>
      <c r="AA38" s="124">
        <f t="shared" si="8"/>
        <v>0</v>
      </c>
      <c r="AB38" s="124">
        <f t="shared" si="8"/>
        <v>0</v>
      </c>
      <c r="AC38" s="124">
        <f t="shared" si="8"/>
        <v>0</v>
      </c>
      <c r="AD38" s="124">
        <f t="shared" si="8"/>
        <v>0</v>
      </c>
    </row>
    <row r="39" spans="2:30" ht="16.5" thickBot="1">
      <c r="B39" s="28" t="s">
        <v>101</v>
      </c>
      <c r="C39" s="121"/>
      <c r="D39" s="155"/>
      <c r="E39" s="141">
        <f t="shared" si="2"/>
        <v>0</v>
      </c>
      <c r="F39" s="142">
        <f t="shared" si="2"/>
        <v>0</v>
      </c>
      <c r="G39" s="156"/>
      <c r="H39" s="23">
        <f>E39/1000*212.1</f>
        <v>0</v>
      </c>
      <c r="I39" s="18">
        <f t="shared" si="6"/>
        <v>0</v>
      </c>
      <c r="J39" s="144">
        <f t="shared" si="7"/>
        <v>0</v>
      </c>
      <c r="K39" s="25"/>
      <c r="L39" s="152"/>
      <c r="M39" s="25"/>
      <c r="N39" s="152"/>
      <c r="O39" s="25"/>
      <c r="P39" s="152"/>
      <c r="Q39" s="25"/>
      <c r="R39" s="152"/>
      <c r="S39" s="3"/>
      <c r="T39" s="153"/>
      <c r="U39" s="2"/>
      <c r="V39" s="154"/>
      <c r="W39" s="2"/>
      <c r="X39" s="154"/>
      <c r="Y39" s="2"/>
      <c r="Z39" s="154"/>
      <c r="AA39" s="2"/>
      <c r="AB39" s="154"/>
      <c r="AC39" s="25"/>
      <c r="AD39" s="152"/>
    </row>
    <row r="40" spans="2:30" ht="16.5" thickBot="1">
      <c r="B40" s="28" t="s">
        <v>102</v>
      </c>
      <c r="C40" s="121"/>
      <c r="D40" s="155"/>
      <c r="E40" s="141">
        <f t="shared" si="2"/>
        <v>0</v>
      </c>
      <c r="F40" s="142">
        <f t="shared" si="2"/>
        <v>0</v>
      </c>
      <c r="G40" s="156"/>
      <c r="H40" s="23">
        <f>E40/1000*139.5</f>
        <v>0</v>
      </c>
      <c r="I40" s="18">
        <f t="shared" si="6"/>
        <v>0</v>
      </c>
      <c r="J40" s="144">
        <f t="shared" si="7"/>
        <v>0</v>
      </c>
      <c r="K40" s="25"/>
      <c r="L40" s="152"/>
      <c r="M40" s="25"/>
      <c r="N40" s="152"/>
      <c r="O40" s="25"/>
      <c r="P40" s="152"/>
      <c r="Q40" s="25"/>
      <c r="R40" s="152"/>
      <c r="S40" s="3"/>
      <c r="T40" s="153"/>
      <c r="U40" s="2"/>
      <c r="V40" s="154"/>
      <c r="W40" s="2"/>
      <c r="X40" s="154"/>
      <c r="Y40" s="2"/>
      <c r="Z40" s="154"/>
      <c r="AA40" s="2"/>
      <c r="AB40" s="154"/>
      <c r="AC40" s="25"/>
      <c r="AD40" s="152"/>
    </row>
    <row r="41" spans="2:30" ht="16.5" thickBot="1">
      <c r="B41" s="28" t="s">
        <v>103</v>
      </c>
      <c r="C41" s="121"/>
      <c r="D41" s="155"/>
      <c r="E41" s="141">
        <f t="shared" si="2"/>
        <v>0</v>
      </c>
      <c r="F41" s="142">
        <f t="shared" si="2"/>
        <v>0</v>
      </c>
      <c r="G41" s="156"/>
      <c r="H41" s="23">
        <f>E41/1000*360</f>
        <v>0</v>
      </c>
      <c r="I41" s="18">
        <f t="shared" si="6"/>
        <v>0</v>
      </c>
      <c r="J41" s="144">
        <f t="shared" si="7"/>
        <v>0</v>
      </c>
      <c r="K41" s="25"/>
      <c r="L41" s="152"/>
      <c r="M41" s="25"/>
      <c r="N41" s="152"/>
      <c r="O41" s="25"/>
      <c r="P41" s="152"/>
      <c r="Q41" s="25"/>
      <c r="R41" s="152"/>
      <c r="S41" s="3"/>
      <c r="T41" s="153"/>
      <c r="U41" s="2"/>
      <c r="V41" s="154"/>
      <c r="W41" s="2"/>
      <c r="X41" s="154"/>
      <c r="Y41" s="2"/>
      <c r="Z41" s="154"/>
      <c r="AA41" s="2"/>
      <c r="AB41" s="154"/>
      <c r="AC41" s="25"/>
      <c r="AD41" s="152"/>
    </row>
    <row r="42" spans="2:30" ht="16.5" thickBot="1">
      <c r="B42" s="28" t="s">
        <v>104</v>
      </c>
      <c r="C42" s="121"/>
      <c r="D42" s="155"/>
      <c r="E42" s="141">
        <f t="shared" si="2"/>
        <v>0</v>
      </c>
      <c r="F42" s="142">
        <f t="shared" si="2"/>
        <v>0</v>
      </c>
      <c r="G42" s="156"/>
      <c r="H42" s="23">
        <f>E42/1000*336.7</f>
        <v>0</v>
      </c>
      <c r="I42" s="18">
        <f t="shared" si="6"/>
        <v>0</v>
      </c>
      <c r="J42" s="144">
        <f t="shared" si="7"/>
        <v>0</v>
      </c>
      <c r="K42" s="25"/>
      <c r="L42" s="152"/>
      <c r="M42" s="25"/>
      <c r="N42" s="152"/>
      <c r="O42" s="25"/>
      <c r="P42" s="152"/>
      <c r="Q42" s="25"/>
      <c r="R42" s="152"/>
      <c r="S42" s="3"/>
      <c r="T42" s="153"/>
      <c r="U42" s="2"/>
      <c r="V42" s="154"/>
      <c r="W42" s="2"/>
      <c r="X42" s="154"/>
      <c r="Y42" s="2"/>
      <c r="Z42" s="154"/>
      <c r="AA42" s="2"/>
      <c r="AB42" s="154"/>
      <c r="AC42" s="25"/>
      <c r="AD42" s="152"/>
    </row>
    <row r="43" spans="2:30" ht="16.5" thickBot="1">
      <c r="B43" s="13" t="s">
        <v>36</v>
      </c>
      <c r="C43" s="149">
        <v>200</v>
      </c>
      <c r="D43" s="155">
        <f t="shared" ref="D43:D48" si="9">C43*20/100</f>
        <v>40</v>
      </c>
      <c r="E43" s="141">
        <f t="shared" si="2"/>
        <v>0</v>
      </c>
      <c r="F43" s="142">
        <f t="shared" si="2"/>
        <v>0</v>
      </c>
      <c r="G43" s="157">
        <f t="shared" ref="G43:G48" si="10">F43*20/D43</f>
        <v>0</v>
      </c>
      <c r="H43" s="23">
        <f>E43/1000*71.7</f>
        <v>0</v>
      </c>
      <c r="I43" s="18">
        <f t="shared" si="6"/>
        <v>0</v>
      </c>
      <c r="J43" s="144">
        <f t="shared" si="7"/>
        <v>0</v>
      </c>
      <c r="K43" s="25"/>
      <c r="L43" s="152"/>
      <c r="M43" s="25"/>
      <c r="N43" s="152"/>
      <c r="O43" s="25"/>
      <c r="P43" s="152"/>
      <c r="Q43" s="25"/>
      <c r="R43" s="152"/>
      <c r="S43" s="3"/>
      <c r="T43" s="153"/>
      <c r="U43" s="2"/>
      <c r="V43" s="154"/>
      <c r="W43" s="2"/>
      <c r="X43" s="154"/>
      <c r="Y43" s="2"/>
      <c r="Z43" s="154"/>
      <c r="AA43" s="2"/>
      <c r="AB43" s="154"/>
      <c r="AC43" s="25"/>
      <c r="AD43" s="152"/>
    </row>
    <row r="44" spans="2:30" ht="16.5" thickBot="1">
      <c r="B44" s="15" t="s">
        <v>37</v>
      </c>
      <c r="C44" s="149">
        <v>78</v>
      </c>
      <c r="D44" s="155">
        <f t="shared" si="9"/>
        <v>15.6</v>
      </c>
      <c r="E44" s="141">
        <f t="shared" si="2"/>
        <v>25.160869565217393</v>
      </c>
      <c r="F44" s="142">
        <f t="shared" si="2"/>
        <v>20.105652173913043</v>
      </c>
      <c r="G44" s="157">
        <f t="shared" si="10"/>
        <v>25.776477146042364</v>
      </c>
      <c r="H44" s="23">
        <f>E44/1000*454.4</f>
        <v>11.433099130434783</v>
      </c>
      <c r="I44" s="18">
        <f t="shared" si="6"/>
        <v>251.60869565217394</v>
      </c>
      <c r="J44" s="144">
        <f t="shared" si="7"/>
        <v>201.05652173913043</v>
      </c>
      <c r="K44" s="26"/>
      <c r="L44" s="158"/>
      <c r="M44" s="26"/>
      <c r="N44" s="158"/>
      <c r="O44" s="26"/>
      <c r="P44" s="158"/>
      <c r="Q44" s="26">
        <f>[30]Лист1!$C$44</f>
        <v>84.208695652173915</v>
      </c>
      <c r="R44" s="158">
        <f>[30]Лист1!$D$44</f>
        <v>61.756521739130434</v>
      </c>
      <c r="S44" s="159"/>
      <c r="T44" s="160"/>
      <c r="U44" s="4"/>
      <c r="V44" s="161"/>
      <c r="W44" s="4">
        <f>[20]Лист1!$C$27</f>
        <v>92.4</v>
      </c>
      <c r="X44" s="161">
        <f>[20]Лист1!$D$27</f>
        <v>69.3</v>
      </c>
      <c r="Y44" s="4"/>
      <c r="Z44" s="161"/>
      <c r="AA44" s="4">
        <f>[24]Лист1!$C$26</f>
        <v>75</v>
      </c>
      <c r="AB44" s="161">
        <f>[24]Лист1!$D$26</f>
        <v>70</v>
      </c>
      <c r="AC44" s="26"/>
      <c r="AD44" s="158"/>
    </row>
    <row r="45" spans="2:30" ht="32.25" thickBot="1">
      <c r="B45" s="15" t="s">
        <v>38</v>
      </c>
      <c r="C45" s="149">
        <v>40</v>
      </c>
      <c r="D45" s="155">
        <f t="shared" si="9"/>
        <v>8</v>
      </c>
      <c r="E45" s="141">
        <f t="shared" si="2"/>
        <v>0</v>
      </c>
      <c r="F45" s="142">
        <f t="shared" si="2"/>
        <v>0</v>
      </c>
      <c r="G45" s="157">
        <f t="shared" si="10"/>
        <v>0</v>
      </c>
      <c r="H45" s="23">
        <f>E45/1000*277</f>
        <v>0</v>
      </c>
      <c r="I45" s="18">
        <f t="shared" si="6"/>
        <v>0</v>
      </c>
      <c r="J45" s="144">
        <f t="shared" si="7"/>
        <v>0</v>
      </c>
      <c r="K45" s="26"/>
      <c r="L45" s="158"/>
      <c r="M45" s="26"/>
      <c r="N45" s="158"/>
      <c r="O45" s="26"/>
      <c r="P45" s="158"/>
      <c r="Q45" s="26"/>
      <c r="R45" s="158"/>
      <c r="S45" s="159"/>
      <c r="T45" s="160"/>
      <c r="U45" s="4"/>
      <c r="V45" s="161"/>
      <c r="W45" s="4"/>
      <c r="X45" s="161"/>
      <c r="Y45" s="4"/>
      <c r="Z45" s="161"/>
      <c r="AA45" s="4"/>
      <c r="AB45" s="161"/>
      <c r="AC45" s="26"/>
      <c r="AD45" s="158"/>
    </row>
    <row r="46" spans="2:30" ht="16.5" thickBot="1">
      <c r="B46" s="15" t="s">
        <v>39</v>
      </c>
      <c r="C46" s="149">
        <v>53</v>
      </c>
      <c r="D46" s="155">
        <f t="shared" si="9"/>
        <v>10.6</v>
      </c>
      <c r="E46" s="141">
        <f t="shared" si="2"/>
        <v>38.700000000000003</v>
      </c>
      <c r="F46" s="142">
        <f t="shared" si="2"/>
        <v>15.175000000000001</v>
      </c>
      <c r="G46" s="157">
        <f t="shared" si="10"/>
        <v>28.632075471698116</v>
      </c>
      <c r="H46" s="23">
        <f>E46/1000*201.4</f>
        <v>7.7941800000000017</v>
      </c>
      <c r="I46" s="18">
        <f t="shared" si="6"/>
        <v>387</v>
      </c>
      <c r="J46" s="144">
        <f t="shared" si="7"/>
        <v>151.75</v>
      </c>
      <c r="K46" s="25"/>
      <c r="L46" s="152"/>
      <c r="M46" s="25"/>
      <c r="N46" s="152"/>
      <c r="O46" s="25"/>
      <c r="P46" s="152"/>
      <c r="Q46" s="25"/>
      <c r="R46" s="152"/>
      <c r="S46" s="3">
        <f>[14]Лист1!$C$30</f>
        <v>127</v>
      </c>
      <c r="T46" s="153">
        <f>[14]Лист1!$D$30</f>
        <v>48</v>
      </c>
      <c r="U46" s="2"/>
      <c r="V46" s="154"/>
      <c r="W46" s="2"/>
      <c r="X46" s="154"/>
      <c r="Y46" s="2"/>
      <c r="Z46" s="154"/>
      <c r="AA46" s="2"/>
      <c r="AB46" s="154"/>
      <c r="AC46" s="25">
        <f>[27]Лист1!$C$24</f>
        <v>260</v>
      </c>
      <c r="AD46" s="152">
        <f>[27]Лист1!$D$25</f>
        <v>103.75</v>
      </c>
    </row>
    <row r="47" spans="2:30" ht="16.5" thickBot="1">
      <c r="B47" s="13" t="s">
        <v>40</v>
      </c>
      <c r="C47" s="149">
        <v>77</v>
      </c>
      <c r="D47" s="155">
        <f t="shared" si="9"/>
        <v>15.4</v>
      </c>
      <c r="E47" s="141">
        <f t="shared" si="2"/>
        <v>23.18</v>
      </c>
      <c r="F47" s="142">
        <f t="shared" si="2"/>
        <v>16.84</v>
      </c>
      <c r="G47" s="157">
        <f t="shared" si="10"/>
        <v>21.870129870129869</v>
      </c>
      <c r="H47" s="23">
        <f>E47/1000*216.3</f>
        <v>5.0138340000000001</v>
      </c>
      <c r="I47" s="18">
        <f t="shared" si="6"/>
        <v>231.8</v>
      </c>
      <c r="J47" s="144">
        <f t="shared" si="7"/>
        <v>168.4</v>
      </c>
      <c r="K47" s="25">
        <f>[2]Лист1!$C$28</f>
        <v>91</v>
      </c>
      <c r="L47" s="152">
        <f>[2]Лист1!$D$28</f>
        <v>66</v>
      </c>
      <c r="M47" s="25"/>
      <c r="N47" s="152"/>
      <c r="O47" s="25">
        <f>[32]Лист1!$C$44</f>
        <v>140.80000000000001</v>
      </c>
      <c r="P47" s="152">
        <f>[32]Лист1!$D$44</f>
        <v>102.4</v>
      </c>
      <c r="Q47" s="25"/>
      <c r="R47" s="152"/>
      <c r="S47" s="3"/>
      <c r="T47" s="153"/>
      <c r="U47" s="2"/>
      <c r="V47" s="154"/>
      <c r="W47" s="2"/>
      <c r="X47" s="154"/>
      <c r="Y47" s="2"/>
      <c r="Z47" s="154"/>
      <c r="AA47" s="2"/>
      <c r="AB47" s="154"/>
      <c r="AC47" s="25"/>
      <c r="AD47" s="152"/>
    </row>
    <row r="48" spans="2:30" ht="16.5" thickBot="1">
      <c r="B48" s="13" t="s">
        <v>41</v>
      </c>
      <c r="C48" s="149">
        <v>350</v>
      </c>
      <c r="D48" s="155">
        <f t="shared" si="9"/>
        <v>70</v>
      </c>
      <c r="E48" s="141">
        <f t="shared" si="2"/>
        <v>92.822500000000019</v>
      </c>
      <c r="F48" s="142">
        <f t="shared" si="2"/>
        <v>92.822500000000019</v>
      </c>
      <c r="G48" s="157">
        <f t="shared" si="10"/>
        <v>26.520714285714291</v>
      </c>
      <c r="H48" s="23"/>
      <c r="I48" s="18">
        <f t="shared" si="6"/>
        <v>928.22500000000014</v>
      </c>
      <c r="J48" s="144">
        <f t="shared" si="7"/>
        <v>928.22500000000014</v>
      </c>
      <c r="K48" s="124">
        <f>K49+K50+K51</f>
        <v>170.5</v>
      </c>
      <c r="L48" s="124">
        <f t="shared" ref="L48:AD48" si="11">L49+L50+L51</f>
        <v>170.5</v>
      </c>
      <c r="M48" s="124">
        <f t="shared" si="11"/>
        <v>72</v>
      </c>
      <c r="N48" s="124">
        <f t="shared" si="11"/>
        <v>72</v>
      </c>
      <c r="O48" s="124">
        <f t="shared" si="11"/>
        <v>47.6</v>
      </c>
      <c r="P48" s="124">
        <f t="shared" si="11"/>
        <v>47.6</v>
      </c>
      <c r="Q48" s="124">
        <f t="shared" si="11"/>
        <v>34.200000000000003</v>
      </c>
      <c r="R48" s="124">
        <f t="shared" si="11"/>
        <v>34.200000000000003</v>
      </c>
      <c r="S48" s="124">
        <f t="shared" si="11"/>
        <v>159.80000000000001</v>
      </c>
      <c r="T48" s="124">
        <f t="shared" si="11"/>
        <v>159.80000000000001</v>
      </c>
      <c r="U48" s="124">
        <f>U49+U50+U51</f>
        <v>276.92500000000001</v>
      </c>
      <c r="V48" s="124">
        <f>V49+V50+V51</f>
        <v>276.92500000000001</v>
      </c>
      <c r="W48" s="124">
        <f t="shared" si="11"/>
        <v>68</v>
      </c>
      <c r="X48" s="124">
        <f t="shared" si="11"/>
        <v>68</v>
      </c>
      <c r="Y48" s="124">
        <f>Y49+Y50+Y51</f>
        <v>38</v>
      </c>
      <c r="Z48" s="124">
        <f>Z49+Z50+Z51</f>
        <v>38</v>
      </c>
      <c r="AA48" s="124">
        <f t="shared" si="11"/>
        <v>34.200000000000003</v>
      </c>
      <c r="AB48" s="124">
        <f t="shared" si="11"/>
        <v>34.200000000000003</v>
      </c>
      <c r="AC48" s="124">
        <f t="shared" si="11"/>
        <v>27</v>
      </c>
      <c r="AD48" s="124">
        <f t="shared" si="11"/>
        <v>27</v>
      </c>
    </row>
    <row r="49" spans="2:30" ht="16.5" thickBot="1">
      <c r="B49" s="28" t="s">
        <v>41</v>
      </c>
      <c r="C49" s="121"/>
      <c r="D49" s="155"/>
      <c r="E49" s="141">
        <f t="shared" si="2"/>
        <v>48.782499999999999</v>
      </c>
      <c r="F49" s="142">
        <f t="shared" si="2"/>
        <v>48.782499999999999</v>
      </c>
      <c r="G49" s="156"/>
      <c r="H49" s="23">
        <f>E49/1000*76.6</f>
        <v>3.7367394999999997</v>
      </c>
      <c r="I49" s="18">
        <f t="shared" si="6"/>
        <v>487.82499999999999</v>
      </c>
      <c r="J49" s="144">
        <f t="shared" si="7"/>
        <v>487.82499999999999</v>
      </c>
      <c r="K49" s="129">
        <f>[1]Лист1!$C$24+[2]Лист1!$C$33</f>
        <v>132.5</v>
      </c>
      <c r="L49" s="162">
        <f>[1]Лист1!$D$24+[2]Лист1!$D$33</f>
        <v>132.5</v>
      </c>
      <c r="M49" s="25">
        <f>[29]Лист1!$C$30</f>
        <v>52</v>
      </c>
      <c r="N49" s="152">
        <f>[29]Лист1!$D$30</f>
        <v>52</v>
      </c>
      <c r="O49" s="25">
        <f>[32]Лист1!$D$49</f>
        <v>9.6</v>
      </c>
      <c r="P49" s="152">
        <f>[32]Лист1!$D$49</f>
        <v>9.6</v>
      </c>
      <c r="Q49" s="25"/>
      <c r="R49" s="152"/>
      <c r="S49" s="25">
        <f>[14]Лист1!$C$33+[14]Лист1!$C$39+[15]Лист1!$C$36</f>
        <v>159.80000000000001</v>
      </c>
      <c r="T49" s="152">
        <f>[14]Лист1!$D$33+[14]Лист1!$D$39+[15]Лист1!$D$36</f>
        <v>159.80000000000001</v>
      </c>
      <c r="U49" s="2">
        <f>[35]Лист1!$C$37</f>
        <v>76.924999999999997</v>
      </c>
      <c r="V49" s="154">
        <f>[35]Лист1!$D$37</f>
        <v>76.924999999999997</v>
      </c>
      <c r="W49" s="2">
        <f>[21]Лист1!$C$37</f>
        <v>30</v>
      </c>
      <c r="X49" s="154">
        <f>[21]Лист1!$D$37</f>
        <v>30</v>
      </c>
      <c r="Y49" s="2"/>
      <c r="Z49" s="154"/>
      <c r="AA49" s="163"/>
      <c r="AB49" s="164"/>
      <c r="AC49" s="129">
        <f>[28]Лист1!$C$25</f>
        <v>27</v>
      </c>
      <c r="AD49" s="162">
        <f>[28]Лист1!$D$25</f>
        <v>27</v>
      </c>
    </row>
    <row r="50" spans="2:30" ht="16.5" thickBot="1">
      <c r="B50" s="28" t="s">
        <v>118</v>
      </c>
      <c r="C50" s="121"/>
      <c r="D50" s="155"/>
      <c r="E50" s="141">
        <f t="shared" si="2"/>
        <v>20</v>
      </c>
      <c r="F50" s="142">
        <f t="shared" si="2"/>
        <v>20</v>
      </c>
      <c r="G50" s="156"/>
      <c r="H50" s="23">
        <f>E50/1000*125.6</f>
        <v>2.512</v>
      </c>
      <c r="I50" s="18">
        <f t="shared" si="6"/>
        <v>200</v>
      </c>
      <c r="J50" s="144">
        <f t="shared" si="7"/>
        <v>200</v>
      </c>
      <c r="K50" s="165"/>
      <c r="L50" s="166"/>
      <c r="M50" s="25"/>
      <c r="N50" s="152"/>
      <c r="O50" s="25"/>
      <c r="P50" s="152"/>
      <c r="Q50" s="25"/>
      <c r="R50" s="152"/>
      <c r="S50" s="25"/>
      <c r="T50" s="152"/>
      <c r="U50" s="2">
        <f>'6 день '!D9</f>
        <v>200</v>
      </c>
      <c r="V50" s="154">
        <f>'6 день '!D9</f>
        <v>200</v>
      </c>
      <c r="W50" s="2"/>
      <c r="X50" s="154"/>
      <c r="Y50" s="2"/>
      <c r="Z50" s="154"/>
      <c r="AA50" s="167"/>
      <c r="AB50" s="168"/>
      <c r="AC50" s="130"/>
      <c r="AD50" s="169"/>
    </row>
    <row r="51" spans="2:30" ht="16.5" thickBot="1">
      <c r="B51" s="28" t="s">
        <v>124</v>
      </c>
      <c r="C51" s="121"/>
      <c r="D51" s="155"/>
      <c r="E51" s="141">
        <f t="shared" si="2"/>
        <v>24.04</v>
      </c>
      <c r="F51" s="142">
        <f t="shared" si="2"/>
        <v>24.04</v>
      </c>
      <c r="G51" s="156"/>
      <c r="H51" s="23">
        <f>E51/1000*273.3</f>
        <v>6.5701320000000001</v>
      </c>
      <c r="I51" s="18">
        <f t="shared" si="6"/>
        <v>240.39999999999998</v>
      </c>
      <c r="J51" s="144">
        <f t="shared" si="7"/>
        <v>240.39999999999998</v>
      </c>
      <c r="K51" s="129">
        <f>[3]Лист1!$C$25</f>
        <v>38</v>
      </c>
      <c r="L51" s="162">
        <f>[3]Лист1!$D$25</f>
        <v>38</v>
      </c>
      <c r="M51" s="25">
        <f>'2 день'!D7</f>
        <v>20</v>
      </c>
      <c r="N51" s="152">
        <f>'2 день'!D7</f>
        <v>20</v>
      </c>
      <c r="O51" s="25">
        <f>[11]Лист1!$C$25</f>
        <v>38</v>
      </c>
      <c r="P51" s="152">
        <f>[11]Лист1!$D$25</f>
        <v>38</v>
      </c>
      <c r="Q51" s="25">
        <f>[3]Лист1!$C$13</f>
        <v>34.200000000000003</v>
      </c>
      <c r="R51" s="152">
        <f>[3]Лист1!$D$13</f>
        <v>34.200000000000003</v>
      </c>
      <c r="S51" s="25"/>
      <c r="T51" s="152"/>
      <c r="U51" s="2"/>
      <c r="V51" s="154"/>
      <c r="W51" s="2">
        <f>[36]Лист1!$C$25</f>
        <v>38</v>
      </c>
      <c r="X51" s="154">
        <f>W51</f>
        <v>38</v>
      </c>
      <c r="Y51" s="2">
        <f>[3]Лист1!$C$25</f>
        <v>38</v>
      </c>
      <c r="Z51" s="154">
        <f>[3]Лист1!$D$25</f>
        <v>38</v>
      </c>
      <c r="AA51" s="163">
        <f>[26]Лист1!$C$13</f>
        <v>34.200000000000003</v>
      </c>
      <c r="AB51" s="164">
        <f>[26]Лист1!$D$13</f>
        <v>34.200000000000003</v>
      </c>
      <c r="AC51" s="130"/>
      <c r="AD51" s="169"/>
    </row>
    <row r="52" spans="2:30" ht="16.5" thickBot="1">
      <c r="B52" s="16" t="s">
        <v>42</v>
      </c>
      <c r="C52" s="149">
        <v>180</v>
      </c>
      <c r="D52" s="155">
        <f>C52*20/100</f>
        <v>36</v>
      </c>
      <c r="E52" s="141">
        <f t="shared" si="2"/>
        <v>11.715</v>
      </c>
      <c r="F52" s="142">
        <f t="shared" si="2"/>
        <v>11</v>
      </c>
      <c r="G52" s="157">
        <f t="shared" ref="G52:G60" si="12">F52*20/D52</f>
        <v>6.1111111111111107</v>
      </c>
      <c r="H52" s="23">
        <f>E52/1000*209.6</f>
        <v>2.4554640000000001</v>
      </c>
      <c r="I52" s="18">
        <f t="shared" si="6"/>
        <v>117.15</v>
      </c>
      <c r="J52" s="144">
        <f t="shared" si="7"/>
        <v>110</v>
      </c>
      <c r="K52" s="25"/>
      <c r="L52" s="152"/>
      <c r="M52" s="25"/>
      <c r="N52" s="152"/>
      <c r="O52" s="25"/>
      <c r="P52" s="152"/>
      <c r="Q52" s="25"/>
      <c r="R52" s="152"/>
      <c r="S52" s="3"/>
      <c r="T52" s="153"/>
      <c r="U52" s="2"/>
      <c r="V52" s="154"/>
      <c r="W52" s="2"/>
      <c r="X52" s="154"/>
      <c r="Y52" s="2">
        <f>[37]Лист1!$C$14</f>
        <v>117.15</v>
      </c>
      <c r="Z52" s="154">
        <f>[37]Лист1!$D$14</f>
        <v>110</v>
      </c>
      <c r="AA52" s="2"/>
      <c r="AB52" s="154"/>
      <c r="AC52" s="25"/>
      <c r="AD52" s="152"/>
    </row>
    <row r="53" spans="2:30" ht="16.5" thickBot="1">
      <c r="B53" s="13" t="s">
        <v>43</v>
      </c>
      <c r="C53" s="149">
        <v>60</v>
      </c>
      <c r="D53" s="155">
        <f t="shared" ref="D53:D60" si="13">C53*20/100</f>
        <v>12</v>
      </c>
      <c r="E53" s="141">
        <f t="shared" si="2"/>
        <v>18.8</v>
      </c>
      <c r="F53" s="142">
        <f t="shared" si="2"/>
        <v>18.666999999999998</v>
      </c>
      <c r="G53" s="157">
        <f t="shared" si="12"/>
        <v>31.111666666666665</v>
      </c>
      <c r="H53" s="23">
        <f>E53/1000*340.4</f>
        <v>6.3995199999999999</v>
      </c>
      <c r="I53" s="18">
        <f t="shared" si="6"/>
        <v>188</v>
      </c>
      <c r="J53" s="144">
        <f t="shared" si="7"/>
        <v>186.67</v>
      </c>
      <c r="K53" s="25"/>
      <c r="L53" s="152"/>
      <c r="M53" s="25">
        <f>[29]Лист1!$C$28</f>
        <v>188</v>
      </c>
      <c r="N53" s="152">
        <f>[29]Лист1!$D$28</f>
        <v>186.67</v>
      </c>
      <c r="O53" s="25"/>
      <c r="P53" s="152"/>
      <c r="Q53" s="25"/>
      <c r="R53" s="152"/>
      <c r="S53" s="3"/>
      <c r="T53" s="153"/>
      <c r="U53" s="2"/>
      <c r="V53" s="154"/>
      <c r="W53" s="2"/>
      <c r="X53" s="154"/>
      <c r="Y53" s="2"/>
      <c r="Z53" s="154"/>
      <c r="AA53" s="2"/>
      <c r="AB53" s="154"/>
      <c r="AC53" s="25"/>
      <c r="AD53" s="152"/>
    </row>
    <row r="54" spans="2:30" ht="16.5" thickBot="1">
      <c r="B54" s="13" t="s">
        <v>44</v>
      </c>
      <c r="C54" s="149">
        <v>15</v>
      </c>
      <c r="D54" s="155">
        <f t="shared" si="13"/>
        <v>3</v>
      </c>
      <c r="E54" s="141">
        <f t="shared" si="2"/>
        <v>2.63</v>
      </c>
      <c r="F54" s="142">
        <f t="shared" si="2"/>
        <v>2.5200000000000005</v>
      </c>
      <c r="G54" s="157">
        <f t="shared" si="12"/>
        <v>16.8</v>
      </c>
      <c r="H54" s="23">
        <f>E54/1000*583</f>
        <v>1.53329</v>
      </c>
      <c r="I54" s="18">
        <f t="shared" si="6"/>
        <v>26.3</v>
      </c>
      <c r="J54" s="144">
        <f t="shared" si="7"/>
        <v>25.200000000000003</v>
      </c>
      <c r="K54" s="25"/>
      <c r="L54" s="152"/>
      <c r="M54" s="25"/>
      <c r="N54" s="152"/>
      <c r="O54" s="25"/>
      <c r="P54" s="152"/>
      <c r="Q54" s="25"/>
      <c r="R54" s="152"/>
      <c r="S54" s="3">
        <f>[14]Лист1!$C$35</f>
        <v>4.3</v>
      </c>
      <c r="T54" s="153">
        <f>[14]Лист1!$D$35</f>
        <v>4.0999999999999996</v>
      </c>
      <c r="U54" s="2"/>
      <c r="V54" s="154"/>
      <c r="W54" s="2"/>
      <c r="X54" s="154"/>
      <c r="Y54" s="2">
        <f>[31]Лист1!$C$37</f>
        <v>22</v>
      </c>
      <c r="Z54" s="154">
        <f>[31]Лист1!$D$37</f>
        <v>21.1</v>
      </c>
      <c r="AA54" s="2"/>
      <c r="AB54" s="154"/>
      <c r="AC54" s="25"/>
      <c r="AD54" s="152"/>
    </row>
    <row r="55" spans="2:30" ht="16.5" thickBot="1">
      <c r="B55" s="13" t="s">
        <v>45</v>
      </c>
      <c r="C55" s="149">
        <v>10</v>
      </c>
      <c r="D55" s="155">
        <f t="shared" si="13"/>
        <v>2</v>
      </c>
      <c r="E55" s="141">
        <f t="shared" si="2"/>
        <v>0.66700000000000004</v>
      </c>
      <c r="F55" s="142">
        <f t="shared" si="2"/>
        <v>0.66700000000000004</v>
      </c>
      <c r="G55" s="157">
        <f t="shared" si="12"/>
        <v>6.67</v>
      </c>
      <c r="H55" s="23">
        <f>E55/1000*256.6</f>
        <v>0.17115220000000003</v>
      </c>
      <c r="I55" s="18">
        <f t="shared" si="6"/>
        <v>6.67</v>
      </c>
      <c r="J55" s="144">
        <f t="shared" si="7"/>
        <v>6.67</v>
      </c>
      <c r="K55" s="25"/>
      <c r="L55" s="152"/>
      <c r="M55" s="25">
        <f>[29]Лист1!$C$33</f>
        <v>6.67</v>
      </c>
      <c r="N55" s="152">
        <f>[29]Лист1!$D$33</f>
        <v>6.67</v>
      </c>
      <c r="O55" s="25"/>
      <c r="P55" s="152"/>
      <c r="Q55" s="25"/>
      <c r="R55" s="152"/>
      <c r="S55" s="3"/>
      <c r="T55" s="153"/>
      <c r="U55" s="2"/>
      <c r="V55" s="154"/>
      <c r="W55" s="2"/>
      <c r="X55" s="154"/>
      <c r="Y55" s="2"/>
      <c r="Z55" s="154"/>
      <c r="AA55" s="2"/>
      <c r="AB55" s="154"/>
      <c r="AC55" s="25"/>
      <c r="AD55" s="152"/>
    </row>
    <row r="56" spans="2:30" ht="16.5" thickBot="1">
      <c r="B56" s="13" t="s">
        <v>46</v>
      </c>
      <c r="C56" s="149">
        <v>35</v>
      </c>
      <c r="D56" s="155">
        <f t="shared" si="13"/>
        <v>7</v>
      </c>
      <c r="E56" s="141">
        <f t="shared" si="2"/>
        <v>4.793000000000001</v>
      </c>
      <c r="F56" s="142">
        <f t="shared" si="2"/>
        <v>4.793000000000001</v>
      </c>
      <c r="G56" s="157">
        <f t="shared" si="12"/>
        <v>13.694285714285716</v>
      </c>
      <c r="H56" s="23">
        <f>E56/1000*818.3</f>
        <v>3.9221119000000009</v>
      </c>
      <c r="I56" s="18">
        <f t="shared" si="6"/>
        <v>47.930000000000007</v>
      </c>
      <c r="J56" s="144">
        <f t="shared" si="7"/>
        <v>47.930000000000007</v>
      </c>
      <c r="K56" s="25">
        <f>[1]Лист1!$C$27</f>
        <v>6.25</v>
      </c>
      <c r="L56" s="152">
        <f>[1]Лист1!$D$27</f>
        <v>6.25</v>
      </c>
      <c r="M56" s="25"/>
      <c r="N56" s="152"/>
      <c r="O56" s="25"/>
      <c r="P56" s="152"/>
      <c r="Q56" s="25"/>
      <c r="R56" s="152"/>
      <c r="S56" s="3">
        <f>[14]Лист1!$C$40+[15]Лист1!$C$39</f>
        <v>8.4499999999999993</v>
      </c>
      <c r="T56" s="153">
        <f>[14]Лист1!$D$40+[15]Лист1!$D$39</f>
        <v>8.4499999999999993</v>
      </c>
      <c r="U56" s="2">
        <f>[35]Лист1!$C$41</f>
        <v>6.25</v>
      </c>
      <c r="V56" s="154">
        <f>[35]Лист1!$D$41</f>
        <v>6.25</v>
      </c>
      <c r="W56" s="2">
        <f>[21]Лист1!$C$38</f>
        <v>9</v>
      </c>
      <c r="X56" s="154">
        <f>[21]Лист1!$D$38</f>
        <v>9</v>
      </c>
      <c r="Y56" s="2">
        <f>[31]Лист1!$C$38</f>
        <v>5</v>
      </c>
      <c r="Z56" s="154">
        <f>[31]Лист1!$D$38</f>
        <v>5</v>
      </c>
      <c r="AA56" s="2">
        <f>[25]Лист1!$C$54</f>
        <v>4.88</v>
      </c>
      <c r="AB56" s="154">
        <f>[25]Лист1!$D$54</f>
        <v>4.88</v>
      </c>
      <c r="AC56" s="25">
        <f>[28]Лист1!$C$26</f>
        <v>8.1</v>
      </c>
      <c r="AD56" s="152">
        <f>[28]Лист1!$D$26</f>
        <v>8.1</v>
      </c>
    </row>
    <row r="57" spans="2:30" ht="16.5" thickBot="1">
      <c r="B57" s="15" t="s">
        <v>47</v>
      </c>
      <c r="C57" s="149">
        <v>18</v>
      </c>
      <c r="D57" s="155">
        <f t="shared" si="13"/>
        <v>3.6</v>
      </c>
      <c r="E57" s="141">
        <f t="shared" si="2"/>
        <v>2.5512391304347828</v>
      </c>
      <c r="F57" s="142">
        <f t="shared" si="2"/>
        <v>2.5512391304347828</v>
      </c>
      <c r="G57" s="157">
        <f t="shared" si="12"/>
        <v>14.173550724637682</v>
      </c>
      <c r="H57" s="23">
        <f>E57/1000*118.1</f>
        <v>0.30130134130434783</v>
      </c>
      <c r="I57" s="18">
        <f t="shared" si="6"/>
        <v>25.512391304347826</v>
      </c>
      <c r="J57" s="144">
        <f t="shared" si="7"/>
        <v>25.512391304347826</v>
      </c>
      <c r="K57" s="25">
        <f>[2]Лист1!$C$36</f>
        <v>2</v>
      </c>
      <c r="L57" s="152">
        <f>[2]Лист1!$D$36</f>
        <v>2</v>
      </c>
      <c r="M57" s="25">
        <f>[29]Лист1!$C$36</f>
        <v>2.67</v>
      </c>
      <c r="N57" s="152">
        <f>[29]Лист1!$D$36</f>
        <v>2.67</v>
      </c>
      <c r="O57" s="25">
        <f>[32]Лист1!$C$52</f>
        <v>3.2</v>
      </c>
      <c r="P57" s="152">
        <f>[32]Лист1!$D$52</f>
        <v>3.2</v>
      </c>
      <c r="Q57" s="25">
        <f>[30]Лист1!$C$51</f>
        <v>7.017391304347826</v>
      </c>
      <c r="R57" s="152">
        <f>[30]Лист1!$D$51</f>
        <v>7.017391304347826</v>
      </c>
      <c r="S57" s="3">
        <f>[14]Лист1!$C$36</f>
        <v>2</v>
      </c>
      <c r="T57" s="153">
        <f>[14]Лист1!$D$36</f>
        <v>2</v>
      </c>
      <c r="U57" s="2">
        <f>[35]Лист1!$C$38</f>
        <v>3.125</v>
      </c>
      <c r="V57" s="154">
        <f>[35]Лист1!$D$38</f>
        <v>3.125</v>
      </c>
      <c r="W57" s="2">
        <f>[20]Лист1!$C$30</f>
        <v>5.5</v>
      </c>
      <c r="X57" s="154">
        <f>[20]Лист1!$D$30</f>
        <v>5.5</v>
      </c>
      <c r="Y57" s="2"/>
      <c r="Z57" s="154"/>
      <c r="AA57" s="2"/>
      <c r="AB57" s="154"/>
      <c r="AC57" s="25"/>
      <c r="AD57" s="152"/>
    </row>
    <row r="58" spans="2:30" ht="16.5" thickBot="1">
      <c r="B58" s="15" t="s">
        <v>48</v>
      </c>
      <c r="C58" s="149">
        <v>40</v>
      </c>
      <c r="D58" s="155">
        <f t="shared" si="13"/>
        <v>8</v>
      </c>
      <c r="E58" s="141">
        <f t="shared" si="2"/>
        <v>16.70675</v>
      </c>
      <c r="F58" s="142">
        <f t="shared" si="2"/>
        <v>14.520500000000002</v>
      </c>
      <c r="G58" s="157">
        <f t="shared" si="12"/>
        <v>36.301250000000003</v>
      </c>
      <c r="H58" s="23">
        <f>E58/40*9.5</f>
        <v>3.967853125</v>
      </c>
      <c r="I58" s="18">
        <f t="shared" si="6"/>
        <v>167.0675</v>
      </c>
      <c r="J58" s="144">
        <f t="shared" si="7"/>
        <v>145.20500000000001</v>
      </c>
      <c r="K58" s="25">
        <f>[2]Лист1!$C$32</f>
        <v>13.799999999999999</v>
      </c>
      <c r="L58" s="152">
        <f>[2]Лист1!$D$32</f>
        <v>12</v>
      </c>
      <c r="M58" s="25">
        <f>[29]Лист1!$C$35</f>
        <v>6.13</v>
      </c>
      <c r="N58" s="152">
        <f>[29]Лист1!$D$35</f>
        <v>5.33</v>
      </c>
      <c r="O58" s="25">
        <f>[32]Лист1!$C$50</f>
        <v>5.6</v>
      </c>
      <c r="P58" s="152">
        <f>[32]Лист1!$D$50</f>
        <v>4.8</v>
      </c>
      <c r="Q58" s="25"/>
      <c r="R58" s="152"/>
      <c r="S58" s="3"/>
      <c r="T58" s="153"/>
      <c r="U58" s="2">
        <f>[35]Лист1!$C$36</f>
        <v>141.53749999999999</v>
      </c>
      <c r="V58" s="154">
        <f>[35]Лист1!$D$36</f>
        <v>123.075</v>
      </c>
      <c r="W58" s="2"/>
      <c r="X58" s="154"/>
      <c r="Y58" s="2"/>
      <c r="Z58" s="154"/>
      <c r="AA58" s="2"/>
      <c r="AB58" s="154"/>
      <c r="AC58" s="25"/>
      <c r="AD58" s="152"/>
    </row>
    <row r="59" spans="2:30" ht="16.5" thickBot="1">
      <c r="B59" s="15" t="s">
        <v>49</v>
      </c>
      <c r="C59" s="149">
        <v>35</v>
      </c>
      <c r="D59" s="155">
        <f t="shared" si="13"/>
        <v>7</v>
      </c>
      <c r="E59" s="141">
        <f t="shared" si="2"/>
        <v>5.8579999999999997</v>
      </c>
      <c r="F59" s="142">
        <f t="shared" si="2"/>
        <v>5.8579999999999997</v>
      </c>
      <c r="G59" s="157">
        <f t="shared" si="12"/>
        <v>16.737142857142857</v>
      </c>
      <c r="H59" s="23">
        <f>E59/1000*68.3</f>
        <v>0.40010139999999994</v>
      </c>
      <c r="I59" s="18">
        <f t="shared" si="6"/>
        <v>58.58</v>
      </c>
      <c r="J59" s="144">
        <f t="shared" si="7"/>
        <v>58.58</v>
      </c>
      <c r="K59" s="25">
        <f>[38]Лист1!$C$53</f>
        <v>6.25</v>
      </c>
      <c r="L59" s="152">
        <f>[38]Лист1!$D$53</f>
        <v>6.25</v>
      </c>
      <c r="M59" s="25">
        <f>[29]Лист1!$C$31+[6]Лист1!$C$28</f>
        <v>23.33</v>
      </c>
      <c r="N59" s="152">
        <f>[29]Лист1!$D$31+[6]Лист1!$D$28</f>
        <v>23.33</v>
      </c>
      <c r="O59" s="25"/>
      <c r="P59" s="152"/>
      <c r="Q59" s="25"/>
      <c r="R59" s="152"/>
      <c r="S59" s="3">
        <f>[39]Лист1!$C$28</f>
        <v>10</v>
      </c>
      <c r="T59" s="153">
        <f>S59</f>
        <v>10</v>
      </c>
      <c r="U59" s="2">
        <f>[17]Лист1!$C$16</f>
        <v>9</v>
      </c>
      <c r="V59" s="154">
        <f>[17]Лист1!$D$16</f>
        <v>9</v>
      </c>
      <c r="W59" s="2"/>
      <c r="X59" s="154"/>
      <c r="Y59" s="2"/>
      <c r="Z59" s="154"/>
      <c r="AA59" s="2"/>
      <c r="AB59" s="154"/>
      <c r="AC59" s="25">
        <f>[40]Лист1!$C$28</f>
        <v>10</v>
      </c>
      <c r="AD59" s="152">
        <f>AC59</f>
        <v>10</v>
      </c>
    </row>
    <row r="60" spans="2:30" ht="16.5" thickBot="1">
      <c r="B60" s="13" t="s">
        <v>50</v>
      </c>
      <c r="C60" s="149">
        <v>15</v>
      </c>
      <c r="D60" s="155">
        <f t="shared" si="13"/>
        <v>3</v>
      </c>
      <c r="E60" s="141">
        <f t="shared" si="2"/>
        <v>0</v>
      </c>
      <c r="F60" s="142">
        <f t="shared" si="2"/>
        <v>0</v>
      </c>
      <c r="G60" s="157">
        <f t="shared" si="12"/>
        <v>0</v>
      </c>
      <c r="H60" s="23"/>
      <c r="I60" s="18">
        <f t="shared" si="6"/>
        <v>0</v>
      </c>
      <c r="J60" s="144">
        <f t="shared" si="7"/>
        <v>0</v>
      </c>
      <c r="K60" s="124">
        <f t="shared" ref="K60:AD60" si="14">K61</f>
        <v>0</v>
      </c>
      <c r="L60" s="124">
        <f t="shared" si="14"/>
        <v>0</v>
      </c>
      <c r="M60" s="124">
        <f t="shared" si="14"/>
        <v>0</v>
      </c>
      <c r="N60" s="124">
        <f t="shared" si="14"/>
        <v>0</v>
      </c>
      <c r="O60" s="124">
        <f t="shared" si="14"/>
        <v>0</v>
      </c>
      <c r="P60" s="124">
        <f t="shared" si="14"/>
        <v>0</v>
      </c>
      <c r="Q60" s="124">
        <f t="shared" si="14"/>
        <v>0</v>
      </c>
      <c r="R60" s="124">
        <f t="shared" si="14"/>
        <v>0</v>
      </c>
      <c r="S60" s="124">
        <f t="shared" si="14"/>
        <v>0</v>
      </c>
      <c r="T60" s="124">
        <f t="shared" si="14"/>
        <v>0</v>
      </c>
      <c r="U60" s="124">
        <f>U61</f>
        <v>0</v>
      </c>
      <c r="V60" s="124">
        <f>V61</f>
        <v>0</v>
      </c>
      <c r="W60" s="124">
        <f t="shared" si="14"/>
        <v>0</v>
      </c>
      <c r="X60" s="124">
        <f t="shared" si="14"/>
        <v>0</v>
      </c>
      <c r="Y60" s="124">
        <f>Y61</f>
        <v>0</v>
      </c>
      <c r="Z60" s="124">
        <f>Z61</f>
        <v>0</v>
      </c>
      <c r="AA60" s="124">
        <f t="shared" si="14"/>
        <v>0</v>
      </c>
      <c r="AB60" s="124">
        <f t="shared" si="14"/>
        <v>0</v>
      </c>
      <c r="AC60" s="124">
        <f t="shared" si="14"/>
        <v>0</v>
      </c>
      <c r="AD60" s="124">
        <f t="shared" si="14"/>
        <v>0</v>
      </c>
    </row>
    <row r="61" spans="2:30" ht="16.5" thickBot="1">
      <c r="B61" s="14" t="s">
        <v>166</v>
      </c>
      <c r="C61" s="121"/>
      <c r="D61" s="155"/>
      <c r="E61" s="141">
        <f t="shared" si="2"/>
        <v>0</v>
      </c>
      <c r="F61" s="142">
        <f t="shared" si="2"/>
        <v>0</v>
      </c>
      <c r="G61" s="156"/>
      <c r="H61" s="23">
        <f>E61/1000*122.9</f>
        <v>0</v>
      </c>
      <c r="I61" s="18">
        <f t="shared" si="6"/>
        <v>0</v>
      </c>
      <c r="J61" s="144">
        <f t="shared" si="7"/>
        <v>0</v>
      </c>
      <c r="K61" s="25"/>
      <c r="L61" s="152"/>
      <c r="M61" s="25"/>
      <c r="N61" s="152"/>
      <c r="O61" s="25"/>
      <c r="P61" s="152"/>
      <c r="Q61" s="25"/>
      <c r="R61" s="152"/>
      <c r="S61" s="3"/>
      <c r="T61" s="153"/>
      <c r="U61" s="2"/>
      <c r="V61" s="154"/>
      <c r="W61" s="2"/>
      <c r="X61" s="154"/>
      <c r="Y61" s="2"/>
      <c r="Z61" s="154"/>
      <c r="AA61" s="2"/>
      <c r="AB61" s="154"/>
      <c r="AC61" s="25"/>
      <c r="AD61" s="152"/>
    </row>
    <row r="62" spans="2:30" ht="16.5" thickBot="1">
      <c r="B62" s="15" t="s">
        <v>51</v>
      </c>
      <c r="C62" s="149">
        <v>2</v>
      </c>
      <c r="D62" s="155">
        <f>C62*20/100</f>
        <v>0.4</v>
      </c>
      <c r="E62" s="141">
        <f t="shared" si="2"/>
        <v>0.39</v>
      </c>
      <c r="F62" s="142">
        <f t="shared" si="2"/>
        <v>0.39</v>
      </c>
      <c r="G62" s="157">
        <f t="shared" ref="G62:G68" si="15">F62*20/D62</f>
        <v>19.5</v>
      </c>
      <c r="H62" s="23">
        <f>E62/1000*564.4</f>
        <v>0.22011599999999998</v>
      </c>
      <c r="I62" s="18">
        <f t="shared" si="6"/>
        <v>3.9</v>
      </c>
      <c r="J62" s="144">
        <f t="shared" si="7"/>
        <v>3.9</v>
      </c>
      <c r="K62" s="25"/>
      <c r="L62" s="152"/>
      <c r="M62" s="25">
        <f>[6]Лист1!$C$26</f>
        <v>1</v>
      </c>
      <c r="N62" s="152">
        <f>[6]Лист1!$D$26</f>
        <v>1</v>
      </c>
      <c r="O62" s="25"/>
      <c r="P62" s="152"/>
      <c r="Q62" s="25"/>
      <c r="R62" s="152"/>
      <c r="S62" s="3">
        <f>[39]Лист1!$C$26</f>
        <v>1</v>
      </c>
      <c r="T62" s="153">
        <f>S62</f>
        <v>1</v>
      </c>
      <c r="U62" s="2">
        <f>[17]Лист1!$C$14</f>
        <v>0.9</v>
      </c>
      <c r="V62" s="154">
        <f>[17]Лист1!$D$14</f>
        <v>0.9</v>
      </c>
      <c r="W62" s="2"/>
      <c r="X62" s="154"/>
      <c r="Y62" s="2"/>
      <c r="Z62" s="154"/>
      <c r="AA62" s="2"/>
      <c r="AB62" s="154"/>
      <c r="AC62" s="25">
        <f>[40]Лист1!$C$26</f>
        <v>1</v>
      </c>
      <c r="AD62" s="152">
        <f>AC62</f>
        <v>1</v>
      </c>
    </row>
    <row r="63" spans="2:30" ht="16.5" thickBot="1">
      <c r="B63" s="15" t="s">
        <v>52</v>
      </c>
      <c r="C63" s="149">
        <v>1.2</v>
      </c>
      <c r="D63" s="155">
        <f t="shared" ref="D63:D68" si="16">C63*20/100</f>
        <v>0.24</v>
      </c>
      <c r="E63" s="141">
        <f t="shared" si="2"/>
        <v>0.69599999999999995</v>
      </c>
      <c r="F63" s="142">
        <f t="shared" si="2"/>
        <v>0.69599999999999995</v>
      </c>
      <c r="G63" s="157">
        <f t="shared" si="15"/>
        <v>57.999999999999993</v>
      </c>
      <c r="H63" s="23">
        <f>E63/1000*287.2</f>
        <v>0.19989119999999999</v>
      </c>
      <c r="I63" s="18">
        <f t="shared" si="6"/>
        <v>6.96</v>
      </c>
      <c r="J63" s="144">
        <f t="shared" si="7"/>
        <v>6.96</v>
      </c>
      <c r="K63" s="25"/>
      <c r="L63" s="152"/>
      <c r="M63" s="25"/>
      <c r="N63" s="152"/>
      <c r="O63" s="25">
        <f>[11]Лист1!$C$26</f>
        <v>2.4</v>
      </c>
      <c r="P63" s="152">
        <f>[11]Лист1!$D$26</f>
        <v>2.4</v>
      </c>
      <c r="Q63" s="25"/>
      <c r="R63" s="152"/>
      <c r="S63" s="3"/>
      <c r="T63" s="153"/>
      <c r="U63" s="2"/>
      <c r="V63" s="154"/>
      <c r="W63" s="2">
        <f>[36]Лист1!$C$26</f>
        <v>2.4</v>
      </c>
      <c r="X63" s="154">
        <f>W63</f>
        <v>2.4</v>
      </c>
      <c r="Y63" s="2"/>
      <c r="Z63" s="154"/>
      <c r="AA63" s="2">
        <f>[26]Лист1!$C$14</f>
        <v>2.16</v>
      </c>
      <c r="AB63" s="154">
        <f>[26]Лист1!$D$14</f>
        <v>2.16</v>
      </c>
      <c r="AC63" s="25"/>
      <c r="AD63" s="152"/>
    </row>
    <row r="64" spans="2:30" ht="16.5" thickBot="1">
      <c r="B64" s="15" t="s">
        <v>53</v>
      </c>
      <c r="C64" s="149">
        <v>2</v>
      </c>
      <c r="D64" s="155">
        <f t="shared" si="16"/>
        <v>0.4</v>
      </c>
      <c r="E64" s="141">
        <f t="shared" si="2"/>
        <v>0.69600000000000006</v>
      </c>
      <c r="F64" s="142">
        <f t="shared" si="2"/>
        <v>0.69600000000000006</v>
      </c>
      <c r="G64" s="157">
        <f t="shared" si="15"/>
        <v>34.800000000000004</v>
      </c>
      <c r="H64" s="23">
        <f>E64/1000*357.1</f>
        <v>0.24854160000000006</v>
      </c>
      <c r="I64" s="18">
        <f t="shared" si="6"/>
        <v>6.9600000000000009</v>
      </c>
      <c r="J64" s="144">
        <f t="shared" si="7"/>
        <v>6.9600000000000009</v>
      </c>
      <c r="K64" s="25">
        <f>[3]Лист1!$C$26</f>
        <v>2.4</v>
      </c>
      <c r="L64" s="152">
        <f>[3]Лист1!$D$26</f>
        <v>2.4</v>
      </c>
      <c r="M64" s="25"/>
      <c r="N64" s="152"/>
      <c r="O64" s="25"/>
      <c r="P64" s="152"/>
      <c r="Q64" s="25">
        <f>[3]Лист1!$C$14</f>
        <v>2.16</v>
      </c>
      <c r="R64" s="152">
        <f>[3]Лист1!$D$14</f>
        <v>2.16</v>
      </c>
      <c r="S64" s="3"/>
      <c r="T64" s="153"/>
      <c r="U64" s="2"/>
      <c r="V64" s="154"/>
      <c r="W64" s="2"/>
      <c r="X64" s="154"/>
      <c r="Y64" s="2">
        <f>[3]Лист1!$C$26</f>
        <v>2.4</v>
      </c>
      <c r="Z64" s="154">
        <f>[3]Лист1!$C$26</f>
        <v>2.4</v>
      </c>
      <c r="AA64" s="2"/>
      <c r="AB64" s="154"/>
      <c r="AC64" s="25"/>
      <c r="AD64" s="152"/>
    </row>
    <row r="65" spans="2:30" ht="16.5" thickBot="1">
      <c r="B65" s="15" t="s">
        <v>54</v>
      </c>
      <c r="C65" s="149">
        <v>0.3</v>
      </c>
      <c r="D65" s="155">
        <f t="shared" si="16"/>
        <v>0.06</v>
      </c>
      <c r="E65" s="141">
        <f t="shared" si="2"/>
        <v>0</v>
      </c>
      <c r="F65" s="142">
        <f t="shared" si="2"/>
        <v>0</v>
      </c>
      <c r="G65" s="157">
        <f t="shared" si="15"/>
        <v>0</v>
      </c>
      <c r="H65" s="23">
        <f>F65/1000*127.3</f>
        <v>0</v>
      </c>
      <c r="I65" s="18">
        <f t="shared" si="6"/>
        <v>0</v>
      </c>
      <c r="J65" s="144">
        <f t="shared" si="7"/>
        <v>0</v>
      </c>
      <c r="K65" s="25"/>
      <c r="L65" s="152"/>
      <c r="M65" s="25"/>
      <c r="N65" s="152"/>
      <c r="O65" s="25"/>
      <c r="P65" s="152"/>
      <c r="Q65" s="25"/>
      <c r="R65" s="152"/>
      <c r="S65" s="3"/>
      <c r="T65" s="153"/>
      <c r="U65" s="2"/>
      <c r="V65" s="154"/>
      <c r="W65" s="2"/>
      <c r="X65" s="154"/>
      <c r="Y65" s="2"/>
      <c r="Z65" s="154"/>
      <c r="AA65" s="2"/>
      <c r="AB65" s="154"/>
      <c r="AC65" s="25"/>
      <c r="AD65" s="152"/>
    </row>
    <row r="66" spans="2:30" ht="16.5" thickBot="1">
      <c r="B66" s="15" t="s">
        <v>55</v>
      </c>
      <c r="C66" s="149">
        <v>4</v>
      </c>
      <c r="D66" s="155">
        <f t="shared" si="16"/>
        <v>0.8</v>
      </c>
      <c r="E66" s="141">
        <f t="shared" si="2"/>
        <v>0</v>
      </c>
      <c r="F66" s="142">
        <f t="shared" si="2"/>
        <v>0</v>
      </c>
      <c r="G66" s="157">
        <f t="shared" si="15"/>
        <v>0</v>
      </c>
      <c r="H66" s="23">
        <f>F66/1000*114.4</f>
        <v>0</v>
      </c>
      <c r="I66" s="18">
        <f t="shared" si="6"/>
        <v>0</v>
      </c>
      <c r="J66" s="144">
        <f t="shared" si="7"/>
        <v>0</v>
      </c>
      <c r="K66" s="25"/>
      <c r="L66" s="152"/>
      <c r="M66" s="25"/>
      <c r="N66" s="152"/>
      <c r="O66" s="25"/>
      <c r="P66" s="152"/>
      <c r="Q66" s="25"/>
      <c r="R66" s="152"/>
      <c r="S66" s="3"/>
      <c r="T66" s="153"/>
      <c r="U66" s="2"/>
      <c r="V66" s="154"/>
      <c r="W66" s="2"/>
      <c r="X66" s="154"/>
      <c r="Y66" s="2"/>
      <c r="Z66" s="154"/>
      <c r="AA66" s="2"/>
      <c r="AB66" s="154"/>
      <c r="AC66" s="25"/>
      <c r="AD66" s="152"/>
    </row>
    <row r="67" spans="2:30" ht="16.5" thickBot="1">
      <c r="B67" s="15" t="s">
        <v>56</v>
      </c>
      <c r="C67" s="149">
        <v>5</v>
      </c>
      <c r="D67" s="155">
        <f t="shared" si="16"/>
        <v>1</v>
      </c>
      <c r="E67" s="141">
        <f t="shared" si="2"/>
        <v>1.4073552173913044</v>
      </c>
      <c r="F67" s="142">
        <f t="shared" si="2"/>
        <v>1.4073552173913044</v>
      </c>
      <c r="G67" s="157">
        <f t="shared" si="15"/>
        <v>28.147104347826087</v>
      </c>
      <c r="H67" s="23">
        <f>F67/1000*13.5</f>
        <v>1.8999295434782612E-2</v>
      </c>
      <c r="I67" s="18">
        <f t="shared" si="6"/>
        <v>14.073552173913045</v>
      </c>
      <c r="J67" s="144">
        <f t="shared" si="7"/>
        <v>14.073552173913045</v>
      </c>
      <c r="K67" s="25">
        <f>L67</f>
        <v>1.31</v>
      </c>
      <c r="L67" s="152">
        <f>[1]Лист1!$D$28+[2]Лист1!$D$37</f>
        <v>1.31</v>
      </c>
      <c r="M67" s="25">
        <f>[29]Лист1!$C$37</f>
        <v>2</v>
      </c>
      <c r="N67" s="152">
        <f>[29]Лист1!$D$37</f>
        <v>2</v>
      </c>
      <c r="O67" s="25">
        <f>[41]Лист1!$C$39</f>
        <v>0.25</v>
      </c>
      <c r="P67" s="152">
        <f>[41]Лист1!$D$39</f>
        <v>0.25</v>
      </c>
      <c r="Q67" s="25">
        <f>[30]Лист1!$C$52</f>
        <v>0.69565217391304346</v>
      </c>
      <c r="R67" s="152">
        <f>[30]Лист1!$D$52</f>
        <v>0.69565217391304346</v>
      </c>
      <c r="S67" s="3">
        <f>[14]Лист1!$C$37+[14]Лист1!$C$42+[15]Лист1!$C$40</f>
        <v>1.5804</v>
      </c>
      <c r="T67" s="153">
        <f>[14]Лист1!$C$37+[14]Лист1!$C$42+[15]Лист1!$D$40</f>
        <v>1.5804</v>
      </c>
      <c r="U67" s="2">
        <f>[35]Лист1!$C$39</f>
        <v>0.92500000000000004</v>
      </c>
      <c r="V67" s="154">
        <f>[35]Лист1!$D$39</f>
        <v>0.92500000000000004</v>
      </c>
      <c r="W67" s="184">
        <f>[21]Лист1!$C$39+[20]Лист1!$C$34</f>
        <v>1.24</v>
      </c>
      <c r="X67" s="154">
        <f>W67</f>
        <v>1.24</v>
      </c>
      <c r="Y67" s="2">
        <f>[31]Лист1!$C$39</f>
        <v>3.2</v>
      </c>
      <c r="Z67" s="154">
        <f>[31]Лист1!$D$39</f>
        <v>3.2</v>
      </c>
      <c r="AA67" s="2">
        <f>[24]Лист1!$C$30+[25]Лист1!$C$53</f>
        <v>1.8399999999999999</v>
      </c>
      <c r="AB67" s="154">
        <f>[24]Лист1!$D$30+[25]Лист1!$D$53</f>
        <v>1.8399999999999999</v>
      </c>
      <c r="AC67" s="25">
        <f>[27]Лист1!$C$28+[28]Лист1!$C$27</f>
        <v>1.0325</v>
      </c>
      <c r="AD67" s="152">
        <f>[27]Лист1!$D$28+[28]Лист1!$D$27</f>
        <v>1.0325</v>
      </c>
    </row>
    <row r="68" spans="2:30" ht="16.5" thickBot="1">
      <c r="B68" s="17" t="s">
        <v>57</v>
      </c>
      <c r="C68" s="170">
        <v>2</v>
      </c>
      <c r="D68" s="171">
        <f t="shared" si="16"/>
        <v>0.4</v>
      </c>
      <c r="E68" s="172">
        <f t="shared" si="2"/>
        <v>2E-3</v>
      </c>
      <c r="F68" s="173">
        <f t="shared" si="2"/>
        <v>2E-3</v>
      </c>
      <c r="G68" s="174">
        <f t="shared" si="15"/>
        <v>9.9999999999999992E-2</v>
      </c>
      <c r="H68" s="131">
        <f>F68/1000*49.9</f>
        <v>9.9799999999999986E-5</v>
      </c>
      <c r="I68" s="125">
        <f t="shared" si="6"/>
        <v>0.02</v>
      </c>
      <c r="J68" s="175">
        <f t="shared" si="7"/>
        <v>0.02</v>
      </c>
      <c r="K68" s="27"/>
      <c r="L68" s="176"/>
      <c r="M68" s="27">
        <f>[29]Лист1!$C$38</f>
        <v>0.02</v>
      </c>
      <c r="N68" s="176">
        <f>[29]Лист1!$D$38</f>
        <v>0.02</v>
      </c>
      <c r="O68" s="27"/>
      <c r="P68" s="176"/>
      <c r="Q68" s="27"/>
      <c r="R68" s="176"/>
      <c r="S68" s="177"/>
      <c r="T68" s="178"/>
      <c r="U68" s="5"/>
      <c r="V68" s="179"/>
      <c r="W68" s="5"/>
      <c r="X68" s="179"/>
      <c r="Y68" s="5"/>
      <c r="Z68" s="179"/>
      <c r="AA68" s="5"/>
      <c r="AB68" s="179"/>
      <c r="AC68" s="27"/>
      <c r="AD68" s="176"/>
    </row>
    <row r="69" spans="2:30" ht="15.75" thickBot="1">
      <c r="D69" s="7"/>
      <c r="E69" s="7"/>
      <c r="F69" s="7"/>
      <c r="G69" s="180" t="s">
        <v>66</v>
      </c>
      <c r="H69" s="101">
        <f>SUM(H4:H68)</f>
        <v>74.688550502608706</v>
      </c>
    </row>
    <row r="72" spans="2:30">
      <c r="F72" s="24"/>
    </row>
  </sheetData>
  <mergeCells count="10">
    <mergeCell ref="B1:Q1"/>
    <mergeCell ref="G2:G3"/>
    <mergeCell ref="B2:B3"/>
    <mergeCell ref="C2:C3"/>
    <mergeCell ref="D2:D3"/>
    <mergeCell ref="E2:E3"/>
    <mergeCell ref="F2:F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56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6"/>
  <sheetViews>
    <sheetView zoomScale="80" zoomScaleNormal="80" workbookViewId="0">
      <pane ySplit="3" topLeftCell="A4" activePane="bottomLeft" state="frozen"/>
      <selection pane="bottomLeft" sqref="A1:O16"/>
    </sheetView>
  </sheetViews>
  <sheetFormatPr defaultRowHeight="12.75"/>
  <cols>
    <col min="1" max="1" width="9.140625" style="12" customWidth="1"/>
    <col min="2" max="2" width="5.5703125" style="12" customWidth="1"/>
    <col min="3" max="3" width="9.140625" style="12" customWidth="1"/>
    <col min="4" max="4" width="10.28515625" style="12" bestFit="1" customWidth="1"/>
    <col min="5" max="5" width="9.140625" style="12" customWidth="1"/>
    <col min="6" max="6" width="10.28515625" style="12" bestFit="1" customWidth="1"/>
    <col min="7" max="7" width="9.140625" style="12" customWidth="1"/>
    <col min="8" max="14" width="10.28515625" style="12" bestFit="1" customWidth="1"/>
    <col min="15" max="15" width="9.140625" style="12"/>
  </cols>
  <sheetData>
    <row r="1" spans="1:16" ht="28.5" customHeight="1" thickBot="1">
      <c r="A1" s="241" t="s">
        <v>134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</row>
    <row r="2" spans="1:16">
      <c r="A2" s="243" t="s">
        <v>105</v>
      </c>
      <c r="B2" s="245" t="s">
        <v>81</v>
      </c>
      <c r="C2" s="247" t="s">
        <v>108</v>
      </c>
      <c r="D2" s="250" t="s">
        <v>109</v>
      </c>
      <c r="E2" s="247" t="s">
        <v>110</v>
      </c>
      <c r="F2" s="247" t="s">
        <v>111</v>
      </c>
      <c r="G2" s="252" t="s">
        <v>112</v>
      </c>
      <c r="H2" s="211" t="s">
        <v>0</v>
      </c>
      <c r="I2" s="212"/>
      <c r="J2" s="212"/>
      <c r="K2" s="213"/>
      <c r="L2" s="211" t="s">
        <v>5</v>
      </c>
      <c r="M2" s="212"/>
      <c r="N2" s="212"/>
      <c r="O2" s="249"/>
    </row>
    <row r="3" spans="1:16" ht="13.5" thickBot="1">
      <c r="A3" s="244"/>
      <c r="B3" s="246"/>
      <c r="C3" s="248"/>
      <c r="D3" s="251"/>
      <c r="E3" s="248"/>
      <c r="F3" s="248"/>
      <c r="G3" s="253"/>
      <c r="H3" s="29" t="s">
        <v>1</v>
      </c>
      <c r="I3" s="29" t="s">
        <v>2</v>
      </c>
      <c r="J3" s="29" t="s">
        <v>3</v>
      </c>
      <c r="K3" s="29" t="s">
        <v>4</v>
      </c>
      <c r="L3" s="53" t="s">
        <v>6</v>
      </c>
      <c r="M3" s="29" t="s">
        <v>7</v>
      </c>
      <c r="N3" s="29" t="s">
        <v>8</v>
      </c>
      <c r="O3" s="95" t="s">
        <v>9</v>
      </c>
    </row>
    <row r="4" spans="1:16" ht="13.5" thickBot="1">
      <c r="A4" s="88" t="s">
        <v>80</v>
      </c>
      <c r="B4" s="89">
        <v>1</v>
      </c>
      <c r="C4" s="90">
        <f>'1день'!D13</f>
        <v>590</v>
      </c>
      <c r="D4" s="90">
        <f>'1день'!E13</f>
        <v>25.135000000000002</v>
      </c>
      <c r="E4" s="90">
        <f>'1день'!F13</f>
        <v>13.850000000000001</v>
      </c>
      <c r="F4" s="90">
        <f>'1день'!G13</f>
        <v>90.07</v>
      </c>
      <c r="G4" s="90">
        <f>'1день'!H13</f>
        <v>585.75</v>
      </c>
      <c r="H4" s="90">
        <f>'1день'!I13</f>
        <v>0.25000000000000006</v>
      </c>
      <c r="I4" s="90">
        <f>'1день'!J13</f>
        <v>2.4750000000000001</v>
      </c>
      <c r="J4" s="90">
        <f>'1день'!K13</f>
        <v>103.018</v>
      </c>
      <c r="K4" s="90">
        <f>'1день'!L13</f>
        <v>1.9640000000000002</v>
      </c>
      <c r="L4" s="90">
        <f>'1день'!M13</f>
        <v>311.45</v>
      </c>
      <c r="M4" s="90">
        <f>'1день'!N13</f>
        <v>472.2</v>
      </c>
      <c r="N4" s="90">
        <f>'1день'!O13</f>
        <v>98.05</v>
      </c>
      <c r="O4" s="90">
        <f>'1день'!P13</f>
        <v>1.8600000000000003</v>
      </c>
    </row>
    <row r="5" spans="1:16" ht="13.5" thickBot="1">
      <c r="A5" s="19" t="s">
        <v>80</v>
      </c>
      <c r="B5" s="82">
        <v>2</v>
      </c>
      <c r="C5" s="20">
        <f>'2 день'!D12</f>
        <v>560</v>
      </c>
      <c r="D5" s="20">
        <f>'2 день'!E12</f>
        <v>47.330000000000005</v>
      </c>
      <c r="E5" s="20">
        <f>'2 день'!F12</f>
        <v>14.87</v>
      </c>
      <c r="F5" s="20">
        <f>'2 день'!G12</f>
        <v>83.25</v>
      </c>
      <c r="G5" s="20">
        <f>'2 день'!H12</f>
        <v>658.06333333333328</v>
      </c>
      <c r="H5" s="20">
        <f>'2 день'!I12</f>
        <v>0.31200000000000006</v>
      </c>
      <c r="I5" s="20">
        <f>'2 день'!J12</f>
        <v>8.6999999999999993</v>
      </c>
      <c r="J5" s="20">
        <f>'2 день'!K12</f>
        <v>113.968</v>
      </c>
      <c r="K5" s="20">
        <f>'2 день'!L12</f>
        <v>0.94399999999999995</v>
      </c>
      <c r="L5" s="20">
        <f>'2 день'!M12</f>
        <v>561.92999999999995</v>
      </c>
      <c r="M5" s="20">
        <f>'2 день'!N12</f>
        <v>623.56999999999994</v>
      </c>
      <c r="N5" s="20">
        <f>'2 день'!O12</f>
        <v>92.8</v>
      </c>
      <c r="O5" s="96">
        <f>'2 день'!P12</f>
        <v>4.49</v>
      </c>
    </row>
    <row r="6" spans="1:16" ht="13.5" thickBot="1">
      <c r="A6" s="88" t="s">
        <v>80</v>
      </c>
      <c r="B6" s="89">
        <v>3</v>
      </c>
      <c r="C6" s="90">
        <f>'3 день '!D12</f>
        <v>640</v>
      </c>
      <c r="D6" s="90">
        <f>'3 день '!E12</f>
        <v>28.18</v>
      </c>
      <c r="E6" s="90">
        <f>'3 день '!F12</f>
        <v>16.552</v>
      </c>
      <c r="F6" s="90">
        <f>'3 день '!G12</f>
        <v>72.045999999999992</v>
      </c>
      <c r="G6" s="90">
        <f>'3 день '!H12</f>
        <v>550.54200000000003</v>
      </c>
      <c r="H6" s="90">
        <f>'3 день '!I12</f>
        <v>0.3478</v>
      </c>
      <c r="I6" s="90">
        <f>'3 день '!J12</f>
        <v>31.077999999999999</v>
      </c>
      <c r="J6" s="90">
        <f>'3 день '!K12</f>
        <v>39.768000000000001</v>
      </c>
      <c r="K6" s="90">
        <f>'3 день '!L12</f>
        <v>6.1859999999999999</v>
      </c>
      <c r="L6" s="90">
        <f>'3 день '!M12</f>
        <v>240.90199999999999</v>
      </c>
      <c r="M6" s="90">
        <f>'3 день '!N12</f>
        <v>487.77100000000007</v>
      </c>
      <c r="N6" s="90">
        <f>'3 день '!O12</f>
        <v>126.76500000000001</v>
      </c>
      <c r="O6" s="91">
        <f>'3 день '!P12</f>
        <v>4.8460000000000001</v>
      </c>
    </row>
    <row r="7" spans="1:16" ht="13.5" thickBot="1">
      <c r="A7" s="19" t="s">
        <v>80</v>
      </c>
      <c r="B7" s="82">
        <v>4</v>
      </c>
      <c r="C7" s="21">
        <f>'4 день  '!D12</f>
        <v>620</v>
      </c>
      <c r="D7" s="21">
        <f>'4 день  '!E12</f>
        <v>21.139130434782608</v>
      </c>
      <c r="E7" s="21">
        <f>'4 день  '!F12</f>
        <v>23.10173913043478</v>
      </c>
      <c r="F7" s="21">
        <f>'4 день  '!G12</f>
        <v>84.789565217391313</v>
      </c>
      <c r="G7" s="21">
        <f>'4 день  '!H12</f>
        <v>631.06521739130437</v>
      </c>
      <c r="H7" s="21">
        <f>'4 день  '!I12</f>
        <v>0.1897391304347826</v>
      </c>
      <c r="I7" s="21">
        <f>'4 день  '!J12</f>
        <v>14.945217391304347</v>
      </c>
      <c r="J7" s="21">
        <f>'4 день  '!K12</f>
        <v>14.247999999999999</v>
      </c>
      <c r="K7" s="21">
        <f>'4 день  '!L12</f>
        <v>5.780347826086957</v>
      </c>
      <c r="L7" s="21">
        <f>'4 день  '!M12</f>
        <v>176.23478260869567</v>
      </c>
      <c r="M7" s="21">
        <f>'4 день  '!N12</f>
        <v>296.71695652173912</v>
      </c>
      <c r="N7" s="21">
        <f>'4 день  '!O12</f>
        <v>86.231304347826082</v>
      </c>
      <c r="O7" s="97">
        <f>'4 день  '!P12</f>
        <v>5.2112608695652174</v>
      </c>
    </row>
    <row r="8" spans="1:16" ht="13.5" thickBot="1">
      <c r="A8" s="88" t="s">
        <v>80</v>
      </c>
      <c r="B8" s="92">
        <v>5</v>
      </c>
      <c r="C8" s="90">
        <f>'5 день'!D12</f>
        <v>550</v>
      </c>
      <c r="D8" s="90">
        <f>'5 день'!E12</f>
        <v>25</v>
      </c>
      <c r="E8" s="90">
        <f>'5 день'!F12</f>
        <v>17.880000000000003</v>
      </c>
      <c r="F8" s="90">
        <f>'5 день'!G12</f>
        <v>72.02000000000001</v>
      </c>
      <c r="G8" s="90">
        <f>'5 день'!H12</f>
        <v>549.18000000000006</v>
      </c>
      <c r="H8" s="90">
        <f>'5 день'!I12</f>
        <v>0.37739999999999996</v>
      </c>
      <c r="I8" s="90">
        <f>'5 день'!J12</f>
        <v>2.13</v>
      </c>
      <c r="J8" s="90">
        <f>'5 день'!K12</f>
        <v>126.378</v>
      </c>
      <c r="K8" s="90">
        <f>'5 день'!L12</f>
        <v>1.266</v>
      </c>
      <c r="L8" s="90">
        <f>'5 день'!M12</f>
        <v>346.68</v>
      </c>
      <c r="M8" s="90">
        <f>'5 день'!N12</f>
        <v>448.65999999999997</v>
      </c>
      <c r="N8" s="90">
        <f>'5 день'!O12</f>
        <v>161.90999999999997</v>
      </c>
      <c r="O8" s="91">
        <f>'5 день'!P12</f>
        <v>5.3466666666666658</v>
      </c>
    </row>
    <row r="9" spans="1:16" ht="13.5" thickBot="1">
      <c r="A9" s="19" t="s">
        <v>80</v>
      </c>
      <c r="B9" s="82">
        <v>6</v>
      </c>
      <c r="C9" s="21">
        <f>'6 день '!D12</f>
        <v>620</v>
      </c>
      <c r="D9" s="21">
        <f>'6 день '!E12</f>
        <v>26.565000000000001</v>
      </c>
      <c r="E9" s="21">
        <f>'6 день '!F12</f>
        <v>35.177499999999995</v>
      </c>
      <c r="F9" s="21">
        <f>'6 день '!G12</f>
        <v>41.402499999999996</v>
      </c>
      <c r="G9" s="21">
        <f>'6 день '!H12</f>
        <v>589.57500000000005</v>
      </c>
      <c r="H9" s="21">
        <f>'6 день '!I12</f>
        <v>0.23450000000000001</v>
      </c>
      <c r="I9" s="21">
        <f>'6 день '!J12</f>
        <v>2.4424999999999999</v>
      </c>
      <c r="J9" s="21">
        <f>'6 день '!K12</f>
        <v>405.05550000000005</v>
      </c>
      <c r="K9" s="21">
        <f>'6 день '!L12</f>
        <v>1.2290000000000001</v>
      </c>
      <c r="L9" s="21">
        <f>'6 день '!M12</f>
        <v>506.82</v>
      </c>
      <c r="M9" s="21">
        <f>'6 день '!N12</f>
        <v>398.23749999999995</v>
      </c>
      <c r="N9" s="21">
        <f>'6 день '!O12</f>
        <v>77.465000000000003</v>
      </c>
      <c r="O9" s="97">
        <f>'6 день '!P12</f>
        <v>4.2930000000000001</v>
      </c>
    </row>
    <row r="10" spans="1:16" ht="13.5" thickBot="1">
      <c r="A10" s="88" t="s">
        <v>80</v>
      </c>
      <c r="B10" s="89">
        <v>7</v>
      </c>
      <c r="C10" s="93">
        <f>'7 день'!D12</f>
        <v>550</v>
      </c>
      <c r="D10" s="93">
        <f>'7 день'!E12</f>
        <v>23.759999999999998</v>
      </c>
      <c r="E10" s="93">
        <f>'7 день'!F12</f>
        <v>27.583333333333336</v>
      </c>
      <c r="F10" s="93">
        <f>'7 день'!G12</f>
        <v>52.92</v>
      </c>
      <c r="G10" s="93">
        <f>'7 день'!H12</f>
        <v>552.20000000000005</v>
      </c>
      <c r="H10" s="93">
        <f>'7 день'!I12</f>
        <v>0.29300000000000004</v>
      </c>
      <c r="I10" s="93">
        <f>'7 день'!J12</f>
        <v>5.53</v>
      </c>
      <c r="J10" s="93">
        <f>'7 день'!K12</f>
        <v>55.567999999999998</v>
      </c>
      <c r="K10" s="93">
        <f>'7 день'!L12</f>
        <v>3.3340000000000001</v>
      </c>
      <c r="L10" s="93">
        <f>'7 день'!M12</f>
        <v>278.2</v>
      </c>
      <c r="M10" s="93">
        <f>'7 день'!N12</f>
        <v>352.6</v>
      </c>
      <c r="N10" s="93">
        <f>'7 день'!O12</f>
        <v>87.1</v>
      </c>
      <c r="O10" s="94">
        <f>'7 день'!P12</f>
        <v>4.5570000000000004</v>
      </c>
    </row>
    <row r="11" spans="1:16" ht="13.5" thickBot="1">
      <c r="A11" s="19" t="s">
        <v>80</v>
      </c>
      <c r="B11" s="82">
        <v>8</v>
      </c>
      <c r="C11" s="21">
        <f>'8 день '!D12</f>
        <v>550</v>
      </c>
      <c r="D11" s="21">
        <f>'8 день '!E12</f>
        <v>21.250000000000004</v>
      </c>
      <c r="E11" s="21">
        <f>'8 день '!F12</f>
        <v>16.350000000000001</v>
      </c>
      <c r="F11" s="21">
        <f>'8 день '!G12</f>
        <v>78.62</v>
      </c>
      <c r="G11" s="21">
        <f>'8 день '!H12</f>
        <v>547.54999999999995</v>
      </c>
      <c r="H11" s="21">
        <f>'8 день '!I12</f>
        <v>0.21400000000000002</v>
      </c>
      <c r="I11" s="21">
        <f>'8 день '!J12</f>
        <v>1.17</v>
      </c>
      <c r="J11" s="21">
        <f>'8 день '!K12</f>
        <v>111.72300000000001</v>
      </c>
      <c r="K11" s="21">
        <f>'8 день '!L12</f>
        <v>1.4840000000000002</v>
      </c>
      <c r="L11" s="21">
        <f>'8 день '!M12</f>
        <v>474.14</v>
      </c>
      <c r="M11" s="21">
        <f>'8 день '!N12</f>
        <v>381.13</v>
      </c>
      <c r="N11" s="21">
        <f>'8 день '!O12</f>
        <v>62.654999999999994</v>
      </c>
      <c r="O11" s="97">
        <f>'8 день '!P12</f>
        <v>2.3879999999999999</v>
      </c>
    </row>
    <row r="12" spans="1:16" ht="13.5" thickBot="1">
      <c r="A12" s="88" t="s">
        <v>80</v>
      </c>
      <c r="B12" s="89">
        <v>9</v>
      </c>
      <c r="C12" s="90">
        <f>'9 день '!D12</f>
        <v>610</v>
      </c>
      <c r="D12" s="90">
        <f>'9 день '!E12</f>
        <v>23.738</v>
      </c>
      <c r="E12" s="90">
        <f>'9 день '!F12</f>
        <v>17.840000000000003</v>
      </c>
      <c r="F12" s="90">
        <f>'9 день '!G12</f>
        <v>86.421999999999997</v>
      </c>
      <c r="G12" s="90">
        <f>'9 день '!H12</f>
        <v>601.29999999999995</v>
      </c>
      <c r="H12" s="90">
        <f>'9 день '!I12</f>
        <v>0.21600000000000003</v>
      </c>
      <c r="I12" s="90">
        <f>'9 день '!J12</f>
        <v>3.24</v>
      </c>
      <c r="J12" s="90">
        <f>'9 день '!K12</f>
        <v>32.643500000000003</v>
      </c>
      <c r="K12" s="90">
        <f>'9 день '!L12</f>
        <v>2.1390000000000002</v>
      </c>
      <c r="L12" s="90">
        <f>'9 день '!M12</f>
        <v>157.83600000000001</v>
      </c>
      <c r="M12" s="90">
        <f>'9 день '!N12</f>
        <v>338.88</v>
      </c>
      <c r="N12" s="90">
        <f>'9 день '!O12</f>
        <v>97.194000000000003</v>
      </c>
      <c r="O12" s="91">
        <f>'9 день '!P12</f>
        <v>3.7119999999999997</v>
      </c>
    </row>
    <row r="13" spans="1:16" ht="13.5" thickBot="1">
      <c r="A13" s="19" t="s">
        <v>80</v>
      </c>
      <c r="B13" s="83">
        <v>10</v>
      </c>
      <c r="C13" s="21">
        <f>'10 день '!D13</f>
        <v>620</v>
      </c>
      <c r="D13" s="21">
        <f>'10 день '!E13</f>
        <v>31.29</v>
      </c>
      <c r="E13" s="21">
        <f>'10 день '!F13</f>
        <v>25.599999999999998</v>
      </c>
      <c r="F13" s="21">
        <f>'10 день '!G13</f>
        <v>49.400000000000006</v>
      </c>
      <c r="G13" s="21">
        <f>'10 день '!H13</f>
        <v>550.9</v>
      </c>
      <c r="H13" s="21">
        <f>'10 день '!I13</f>
        <v>0.32150000000000001</v>
      </c>
      <c r="I13" s="21">
        <f>'10 день '!J13</f>
        <v>13.7</v>
      </c>
      <c r="J13" s="21">
        <f>'10 день '!K13</f>
        <v>95.387999999999991</v>
      </c>
      <c r="K13" s="21">
        <f>'10 день '!L13</f>
        <v>0.68399999999999994</v>
      </c>
      <c r="L13" s="21">
        <f>'10 день '!M13</f>
        <v>215.75</v>
      </c>
      <c r="M13" s="21">
        <f>'10 день '!N13</f>
        <v>373.95</v>
      </c>
      <c r="N13" s="21">
        <f>'10 день '!O13</f>
        <v>84.32</v>
      </c>
      <c r="O13" s="97">
        <f>'10 день '!P13</f>
        <v>5.7139999999999995</v>
      </c>
    </row>
    <row r="14" spans="1:16" ht="25.5" customHeight="1" thickBot="1">
      <c r="A14" s="239" t="s">
        <v>82</v>
      </c>
      <c r="B14" s="240"/>
      <c r="C14" s="102">
        <f t="shared" ref="C14:O14" si="0">(C4+C5+C6+C7+C8+C11+C10+C9+C12+C13)/10</f>
        <v>591</v>
      </c>
      <c r="D14" s="103">
        <f t="shared" si="0"/>
        <v>27.338713043478258</v>
      </c>
      <c r="E14" s="103">
        <f t="shared" si="0"/>
        <v>20.880457246376814</v>
      </c>
      <c r="F14" s="103">
        <f t="shared" si="0"/>
        <v>71.094006521739132</v>
      </c>
      <c r="G14" s="103">
        <f t="shared" si="0"/>
        <v>581.61255507246381</v>
      </c>
      <c r="H14" s="103">
        <f t="shared" si="0"/>
        <v>0.27559391304347824</v>
      </c>
      <c r="I14" s="103">
        <f t="shared" si="0"/>
        <v>8.5410717391304338</v>
      </c>
      <c r="J14" s="103">
        <f t="shared" si="0"/>
        <v>109.7758</v>
      </c>
      <c r="K14" s="103">
        <f t="shared" si="0"/>
        <v>2.5010347826086958</v>
      </c>
      <c r="L14" s="103">
        <f t="shared" si="0"/>
        <v>326.99427826086958</v>
      </c>
      <c r="M14" s="103">
        <f t="shared" si="0"/>
        <v>417.37154565217389</v>
      </c>
      <c r="N14" s="103">
        <f t="shared" si="0"/>
        <v>97.4490304347826</v>
      </c>
      <c r="O14" s="104">
        <f t="shared" si="0"/>
        <v>4.241792753623189</v>
      </c>
      <c r="P14" s="11"/>
    </row>
    <row r="15" spans="1:16" ht="31.5" customHeight="1" thickBot="1">
      <c r="A15" s="235" t="s">
        <v>115</v>
      </c>
      <c r="B15" s="236"/>
      <c r="C15" s="106"/>
      <c r="D15" s="108">
        <v>90</v>
      </c>
      <c r="E15" s="110">
        <v>92</v>
      </c>
      <c r="F15" s="110">
        <v>383</v>
      </c>
      <c r="G15" s="112">
        <v>2720</v>
      </c>
      <c r="H15" s="98">
        <v>1.4</v>
      </c>
      <c r="I15" s="98">
        <v>70</v>
      </c>
      <c r="J15" s="98">
        <v>900</v>
      </c>
      <c r="K15" s="98">
        <v>25</v>
      </c>
      <c r="L15" s="98">
        <v>1200</v>
      </c>
      <c r="M15" s="98">
        <v>1200</v>
      </c>
      <c r="N15" s="98">
        <v>300</v>
      </c>
      <c r="O15" s="98">
        <v>18</v>
      </c>
    </row>
    <row r="16" spans="1:16" ht="33.75" customHeight="1" thickBot="1">
      <c r="A16" s="237" t="s">
        <v>121</v>
      </c>
      <c r="B16" s="238"/>
      <c r="C16" s="107">
        <f>C14</f>
        <v>591</v>
      </c>
      <c r="D16" s="109">
        <f>D14*100/D15</f>
        <v>30.376347826086949</v>
      </c>
      <c r="E16" s="111">
        <f>E14*100/E15</f>
        <v>22.696149180844362</v>
      </c>
      <c r="F16" s="111">
        <f>F14*100/F15</f>
        <v>18.562403791576795</v>
      </c>
      <c r="G16" s="113">
        <f>G14*100/G15</f>
        <v>21.382814524722935</v>
      </c>
      <c r="H16" s="105">
        <f t="shared" ref="H16:O16" si="1">H14*100/H15</f>
        <v>19.68527950310559</v>
      </c>
      <c r="I16" s="105">
        <f t="shared" si="1"/>
        <v>12.20153105590062</v>
      </c>
      <c r="J16" s="105">
        <f t="shared" si="1"/>
        <v>12.197311111111111</v>
      </c>
      <c r="K16" s="105">
        <f t="shared" si="1"/>
        <v>10.004139130434783</v>
      </c>
      <c r="L16" s="105">
        <f t="shared" si="1"/>
        <v>27.249523188405799</v>
      </c>
      <c r="M16" s="105">
        <f t="shared" si="1"/>
        <v>34.780962137681158</v>
      </c>
      <c r="N16" s="105">
        <f t="shared" si="1"/>
        <v>32.483010144927533</v>
      </c>
      <c r="O16" s="105">
        <f t="shared" si="1"/>
        <v>23.565515297906604</v>
      </c>
    </row>
  </sheetData>
  <mergeCells count="13">
    <mergeCell ref="A15:B15"/>
    <mergeCell ref="A16:B16"/>
    <mergeCell ref="A14:B14"/>
    <mergeCell ref="A1:O1"/>
    <mergeCell ref="A2:A3"/>
    <mergeCell ref="B2:B3"/>
    <mergeCell ref="F2:F3"/>
    <mergeCell ref="L2:O2"/>
    <mergeCell ref="C2:C3"/>
    <mergeCell ref="D2:D3"/>
    <mergeCell ref="E2:E3"/>
    <mergeCell ref="G2:G3"/>
    <mergeCell ref="H2:K2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4"/>
  <sheetViews>
    <sheetView workbookViewId="0">
      <selection sqref="A1:Q14"/>
    </sheetView>
  </sheetViews>
  <sheetFormatPr defaultRowHeight="12.75"/>
  <cols>
    <col min="1" max="1" width="6.28515625" customWidth="1"/>
    <col min="2" max="2" width="5" customWidth="1"/>
    <col min="3" max="3" width="34.5703125" customWidth="1"/>
    <col min="4" max="4" width="4" bestFit="1" customWidth="1"/>
    <col min="5" max="7" width="5.42578125" bestFit="1" customWidth="1"/>
    <col min="8" max="8" width="6.42578125" bestFit="1" customWidth="1"/>
    <col min="9" max="10" width="4.42578125" bestFit="1" customWidth="1"/>
    <col min="11" max="11" width="6.42578125" bestFit="1" customWidth="1"/>
    <col min="12" max="12" width="4.42578125" bestFit="1" customWidth="1"/>
    <col min="13" max="14" width="6.42578125" bestFit="1" customWidth="1"/>
    <col min="15" max="15" width="5.42578125" bestFit="1" customWidth="1"/>
    <col min="16" max="16" width="4.42578125" bestFit="1" customWidth="1"/>
    <col min="17" max="17" width="38.140625" bestFit="1" customWidth="1"/>
  </cols>
  <sheetData>
    <row r="1" spans="1:30" s="10" customFormat="1">
      <c r="A1" s="202" t="s">
        <v>126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</row>
    <row r="2" spans="1:30" s="9" customFormat="1">
      <c r="A2" s="9" t="s">
        <v>67</v>
      </c>
    </row>
    <row r="3" spans="1:30" s="9" customFormat="1" ht="13.5" thickBot="1"/>
    <row r="4" spans="1:30" s="8" customFormat="1" ht="12.75" customHeight="1">
      <c r="A4" s="205" t="s">
        <v>105</v>
      </c>
      <c r="B4" s="207" t="s">
        <v>106</v>
      </c>
      <c r="C4" s="209" t="s">
        <v>107</v>
      </c>
      <c r="D4" s="207" t="s">
        <v>108</v>
      </c>
      <c r="E4" s="207" t="s">
        <v>110</v>
      </c>
      <c r="F4" s="207" t="s">
        <v>111</v>
      </c>
      <c r="G4" s="207" t="s">
        <v>112</v>
      </c>
      <c r="H4" s="207" t="s">
        <v>109</v>
      </c>
      <c r="I4" s="211" t="s">
        <v>0</v>
      </c>
      <c r="J4" s="212"/>
      <c r="K4" s="212"/>
      <c r="L4" s="213"/>
      <c r="M4" s="211" t="s">
        <v>5</v>
      </c>
      <c r="N4" s="212"/>
      <c r="O4" s="212"/>
      <c r="P4" s="213"/>
      <c r="Q4" s="203" t="s">
        <v>83</v>
      </c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1:30" s="8" customFormat="1" ht="13.5" thickBot="1">
      <c r="A5" s="206"/>
      <c r="B5" s="208"/>
      <c r="C5" s="210"/>
      <c r="D5" s="208"/>
      <c r="E5" s="208"/>
      <c r="F5" s="208"/>
      <c r="G5" s="208"/>
      <c r="H5" s="208"/>
      <c r="I5" s="85" t="s">
        <v>1</v>
      </c>
      <c r="J5" s="85" t="s">
        <v>2</v>
      </c>
      <c r="K5" s="85" t="s">
        <v>3</v>
      </c>
      <c r="L5" s="85" t="s">
        <v>4</v>
      </c>
      <c r="M5" s="86" t="s">
        <v>6</v>
      </c>
      <c r="N5" s="85" t="s">
        <v>7</v>
      </c>
      <c r="O5" s="85" t="s">
        <v>8</v>
      </c>
      <c r="P5" s="85" t="s">
        <v>9</v>
      </c>
      <c r="Q5" s="20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1:30" s="8" customFormat="1" ht="22.5">
      <c r="A6" s="84" t="s">
        <v>80</v>
      </c>
      <c r="B6" s="38">
        <v>279</v>
      </c>
      <c r="C6" s="214" t="s">
        <v>140</v>
      </c>
      <c r="D6" s="33">
        <v>200</v>
      </c>
      <c r="E6" s="34">
        <f>[4]Лист1!$J$27</f>
        <v>42.13</v>
      </c>
      <c r="F6" s="34">
        <f>[4]Лист1!$J$28</f>
        <v>12.27</v>
      </c>
      <c r="G6" s="34">
        <f>[4]Лист1!$J$29</f>
        <v>33.729999999999997</v>
      </c>
      <c r="H6" s="35">
        <f>[4]Лист1!$J$30</f>
        <v>413.33</v>
      </c>
      <c r="I6" s="30">
        <f>[4]Лист1!$M$32</f>
        <v>0.16</v>
      </c>
      <c r="J6" s="30">
        <f>[4]Лист1!$M$31</f>
        <v>0.8</v>
      </c>
      <c r="K6" s="30">
        <f>[4]Лист1!$M$33</f>
        <v>86</v>
      </c>
      <c r="L6" s="30">
        <f>[4]Лист1!$M$34</f>
        <v>0.4</v>
      </c>
      <c r="M6" s="30">
        <f>[4]Лист1!$M$27</f>
        <v>366.93</v>
      </c>
      <c r="N6" s="30">
        <f>[4]Лист1!$M$28</f>
        <v>462.27</v>
      </c>
      <c r="O6" s="30">
        <f>[4]Лист1!$M$29</f>
        <v>51.2</v>
      </c>
      <c r="P6" s="30">
        <f>[4]Лист1!$M$30</f>
        <v>1.48</v>
      </c>
      <c r="Q6" s="256" t="s">
        <v>141</v>
      </c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</row>
    <row r="7" spans="1:30" ht="22.5">
      <c r="A7" s="55"/>
      <c r="B7" s="38">
        <v>471</v>
      </c>
      <c r="C7" s="215"/>
      <c r="D7" s="33">
        <v>20</v>
      </c>
      <c r="E7" s="34">
        <f>[5]Лист1!$J$11</f>
        <v>1.4400000000000002</v>
      </c>
      <c r="F7" s="34">
        <f>[5]Лист1!$J$12</f>
        <v>1.7</v>
      </c>
      <c r="G7" s="34">
        <f>[5]Лист1!$J$13</f>
        <v>11.1</v>
      </c>
      <c r="H7" s="34">
        <f>[5]Лист1!$J$14</f>
        <v>68.733333333333334</v>
      </c>
      <c r="I7" s="30">
        <f>[5]Лист1!$M$16</f>
        <v>1.2E-2</v>
      </c>
      <c r="J7" s="30">
        <f>[5]Лист1!$M$15</f>
        <v>0.2</v>
      </c>
      <c r="K7" s="30">
        <f>[5]Лист1!$M$17</f>
        <v>8.4</v>
      </c>
      <c r="L7" s="30">
        <f>[5]Лист1!$M$18</f>
        <v>0.04</v>
      </c>
      <c r="M7" s="30">
        <f>[5]Лист1!$M$11</f>
        <v>61.4</v>
      </c>
      <c r="N7" s="30">
        <f>[5]Лист1!$M$12</f>
        <v>43.8</v>
      </c>
      <c r="O7" s="30">
        <f>[5]Лист1!$M$13</f>
        <v>6.8</v>
      </c>
      <c r="P7" s="30">
        <f>[5]Лист1!$M$14</f>
        <v>0.04</v>
      </c>
      <c r="Q7" s="255" t="s">
        <v>142</v>
      </c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1:30">
      <c r="A8" s="55"/>
      <c r="B8" s="38">
        <v>114</v>
      </c>
      <c r="C8" s="32" t="s">
        <v>13</v>
      </c>
      <c r="D8" s="33">
        <v>40</v>
      </c>
      <c r="E8" s="34">
        <v>3.16</v>
      </c>
      <c r="F8" s="34">
        <v>0.4</v>
      </c>
      <c r="G8" s="34">
        <v>19.32</v>
      </c>
      <c r="H8" s="34">
        <v>94</v>
      </c>
      <c r="I8" s="30">
        <v>0.08</v>
      </c>
      <c r="J8" s="30">
        <v>0</v>
      </c>
      <c r="K8" s="30">
        <v>0.56799999999999995</v>
      </c>
      <c r="L8" s="30">
        <v>0.30399999999999999</v>
      </c>
      <c r="M8" s="30">
        <v>9.1999999999999993</v>
      </c>
      <c r="N8" s="30">
        <v>30</v>
      </c>
      <c r="O8" s="30">
        <v>13.2</v>
      </c>
      <c r="P8" s="30">
        <v>0.76</v>
      </c>
      <c r="Q8" s="186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>
      <c r="A9" s="55"/>
      <c r="B9" s="38">
        <v>457</v>
      </c>
      <c r="C9" s="32" t="s">
        <v>78</v>
      </c>
      <c r="D9" s="33">
        <v>200</v>
      </c>
      <c r="E9" s="34">
        <f>[6]Лист1!$J$23</f>
        <v>0.2</v>
      </c>
      <c r="F9" s="34">
        <f>[6]Лист1!$J$24</f>
        <v>0.1</v>
      </c>
      <c r="G9" s="34">
        <f>[6]Лист1!$J$25</f>
        <v>9.3000000000000007</v>
      </c>
      <c r="H9" s="35">
        <f>[6]Лист1!$J$26</f>
        <v>38</v>
      </c>
      <c r="I9" s="30">
        <f>[6]Лист1!$M$28</f>
        <v>0.03</v>
      </c>
      <c r="J9" s="30">
        <f>[6]Лист1!$M$27</f>
        <v>0.7</v>
      </c>
      <c r="K9" s="30">
        <f>[6]Лист1!$M$29</f>
        <v>19</v>
      </c>
      <c r="L9" s="30">
        <f>[6]Лист1!$M$30</f>
        <v>0</v>
      </c>
      <c r="M9" s="30">
        <f>[6]Лист1!$M$23</f>
        <v>108.3</v>
      </c>
      <c r="N9" s="30">
        <f>[6]Лист1!$M$24</f>
        <v>76.5</v>
      </c>
      <c r="O9" s="30">
        <f>[6]Лист1!$M$25</f>
        <v>12.6</v>
      </c>
      <c r="P9" s="30">
        <f>[6]Лист1!$M$30</f>
        <v>0</v>
      </c>
      <c r="Q9" s="186" t="s">
        <v>86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1:30" ht="22.5">
      <c r="A10" s="55"/>
      <c r="B10" s="38">
        <v>82</v>
      </c>
      <c r="C10" s="32" t="s">
        <v>34</v>
      </c>
      <c r="D10" s="33">
        <v>100</v>
      </c>
      <c r="E10" s="34">
        <f>[7]Лист1!$J$11</f>
        <v>0.4</v>
      </c>
      <c r="F10" s="34">
        <f>[7]Лист1!$J$12</f>
        <v>0.4</v>
      </c>
      <c r="G10" s="35">
        <f>[7]Лист1!$J$13</f>
        <v>9.8000000000000007</v>
      </c>
      <c r="H10" s="34">
        <f>[7]Лист1!$J$14</f>
        <v>44</v>
      </c>
      <c r="I10" s="30">
        <f>[7]Лист1!$M$16</f>
        <v>0.03</v>
      </c>
      <c r="J10" s="30">
        <f>[7]Лист1!$M$15</f>
        <v>7</v>
      </c>
      <c r="K10" s="30">
        <f>[7]Лист1!$M$17</f>
        <v>0</v>
      </c>
      <c r="L10" s="30">
        <f>[7]Лист1!$M$18</f>
        <v>0.2</v>
      </c>
      <c r="M10" s="30">
        <f>[7]Лист1!$M$11</f>
        <v>16.100000000000001</v>
      </c>
      <c r="N10" s="30">
        <f>[7]Лист1!$M$12</f>
        <v>11</v>
      </c>
      <c r="O10" s="30">
        <f>[7]Лист1!$M$13</f>
        <v>9</v>
      </c>
      <c r="P10" s="30">
        <f>[7]Лист1!$M$14</f>
        <v>2.21</v>
      </c>
      <c r="Q10" s="255" t="s">
        <v>87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ht="13.5" thickBot="1">
      <c r="A11" s="55"/>
      <c r="B11" s="71"/>
      <c r="C11" s="72"/>
      <c r="D11" s="73"/>
      <c r="E11" s="74"/>
      <c r="F11" s="74"/>
      <c r="G11" s="74"/>
      <c r="H11" s="75"/>
      <c r="I11" s="76"/>
      <c r="J11" s="76"/>
      <c r="K11" s="76"/>
      <c r="L11" s="76"/>
      <c r="M11" s="76"/>
      <c r="N11" s="76"/>
      <c r="O11" s="76"/>
      <c r="P11" s="76"/>
      <c r="Q11" s="195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0" ht="13.5" thickBot="1">
      <c r="A12" s="56" t="s">
        <v>143</v>
      </c>
      <c r="B12" s="57"/>
      <c r="C12" s="58"/>
      <c r="D12" s="59">
        <f>D6+D7+D8+D9+D10+D11</f>
        <v>560</v>
      </c>
      <c r="E12" s="60">
        <f>E6+E7+E8+E9+E10+E11</f>
        <v>47.330000000000005</v>
      </c>
      <c r="F12" s="60">
        <f t="shared" ref="F12:P12" si="0">F6+F7+F8+F9+F10+F11</f>
        <v>14.87</v>
      </c>
      <c r="G12" s="60">
        <f t="shared" si="0"/>
        <v>83.25</v>
      </c>
      <c r="H12" s="60">
        <f t="shared" si="0"/>
        <v>658.06333333333328</v>
      </c>
      <c r="I12" s="60">
        <f t="shared" si="0"/>
        <v>0.31200000000000006</v>
      </c>
      <c r="J12" s="60">
        <f t="shared" si="0"/>
        <v>8.6999999999999993</v>
      </c>
      <c r="K12" s="60">
        <f t="shared" si="0"/>
        <v>113.968</v>
      </c>
      <c r="L12" s="60">
        <f t="shared" si="0"/>
        <v>0.94399999999999995</v>
      </c>
      <c r="M12" s="60">
        <f t="shared" si="0"/>
        <v>561.92999999999995</v>
      </c>
      <c r="N12" s="60">
        <f t="shared" si="0"/>
        <v>623.56999999999994</v>
      </c>
      <c r="O12" s="60">
        <f t="shared" si="0"/>
        <v>92.8</v>
      </c>
      <c r="P12" s="99">
        <f t="shared" si="0"/>
        <v>4.49</v>
      </c>
      <c r="Q12" s="77" t="s">
        <v>84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30" s="194" customFormat="1" ht="12" thickBot="1">
      <c r="A13" s="187"/>
      <c r="B13" s="188"/>
      <c r="C13" s="189" t="s">
        <v>115</v>
      </c>
      <c r="D13" s="190"/>
      <c r="E13" s="191">
        <v>90</v>
      </c>
      <c r="F13" s="191">
        <v>92</v>
      </c>
      <c r="G13" s="191">
        <v>383</v>
      </c>
      <c r="H13" s="191">
        <v>2720</v>
      </c>
      <c r="I13" s="192"/>
      <c r="J13" s="192"/>
      <c r="K13" s="192"/>
      <c r="L13" s="192"/>
      <c r="M13" s="192"/>
      <c r="N13" s="192"/>
      <c r="O13" s="192"/>
      <c r="P13" s="192"/>
      <c r="Q13" s="78" t="s">
        <v>85</v>
      </c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</row>
    <row r="14" spans="1:30" ht="13.5" thickBot="1">
      <c r="A14" s="56"/>
      <c r="B14" s="57"/>
      <c r="C14" s="67" t="s">
        <v>116</v>
      </c>
      <c r="D14" s="59"/>
      <c r="E14" s="68">
        <f>E12*100/E13</f>
        <v>52.588888888888896</v>
      </c>
      <c r="F14" s="68">
        <f>F12*100/F13</f>
        <v>16.163043478260871</v>
      </c>
      <c r="G14" s="68">
        <f>G12*100/G13</f>
        <v>21.736292428198432</v>
      </c>
      <c r="H14" s="68">
        <f>H12*100/H13</f>
        <v>24.193504901960782</v>
      </c>
      <c r="I14" s="60"/>
      <c r="J14" s="60"/>
      <c r="K14" s="60"/>
      <c r="L14" s="60"/>
      <c r="M14" s="60"/>
      <c r="N14" s="60"/>
      <c r="O14" s="60"/>
      <c r="P14" s="60"/>
      <c r="Q14" s="79" t="s">
        <v>92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</sheetData>
  <mergeCells count="13">
    <mergeCell ref="C6:C7"/>
    <mergeCell ref="M4:P4"/>
    <mergeCell ref="A1:Q1"/>
    <mergeCell ref="Q4:Q5"/>
    <mergeCell ref="B4:B5"/>
    <mergeCell ref="C4:C5"/>
    <mergeCell ref="D4:D5"/>
    <mergeCell ref="F4:F5"/>
    <mergeCell ref="A4:A5"/>
    <mergeCell ref="E4:E5"/>
    <mergeCell ref="G4:G5"/>
    <mergeCell ref="H4:H5"/>
    <mergeCell ref="I4:L4"/>
  </mergeCells>
  <phoneticPr fontId="3" type="noConversion"/>
  <pageMargins left="0.19685039370078741" right="0.19685039370078741" top="0.39370078740157483" bottom="0.39370078740157483" header="0" footer="0"/>
  <pageSetup paperSize="9" scale="95" orientation="landscape" r:id="rId1"/>
  <headerFooter alignWithMargins="0"/>
  <ignoredErrors>
    <ignoredError sqref="D12:P12 E14 F14:H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5"/>
  <sheetViews>
    <sheetView workbookViewId="0">
      <selection activeCell="D20" sqref="D20"/>
    </sheetView>
  </sheetViews>
  <sheetFormatPr defaultRowHeight="12.75"/>
  <cols>
    <col min="1" max="1" width="6.28515625" customWidth="1"/>
    <col min="2" max="2" width="4" bestFit="1" customWidth="1"/>
    <col min="3" max="3" width="34.5703125" customWidth="1"/>
    <col min="4" max="4" width="4" bestFit="1" customWidth="1"/>
    <col min="5" max="7" width="5.42578125" bestFit="1" customWidth="1"/>
    <col min="8" max="8" width="6.42578125" bestFit="1" customWidth="1"/>
    <col min="9" max="9" width="4.42578125" bestFit="1" customWidth="1"/>
    <col min="10" max="11" width="5.42578125" bestFit="1" customWidth="1"/>
    <col min="12" max="12" width="4.42578125" bestFit="1" customWidth="1"/>
    <col min="13" max="15" width="6.42578125" bestFit="1" customWidth="1"/>
    <col min="16" max="16" width="4.42578125" bestFit="1" customWidth="1"/>
    <col min="17" max="17" width="38.85546875" bestFit="1" customWidth="1"/>
  </cols>
  <sheetData>
    <row r="1" spans="1:30" s="10" customFormat="1">
      <c r="A1" s="202" t="s">
        <v>127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</row>
    <row r="2" spans="1:30" s="9" customFormat="1">
      <c r="A2" s="9" t="s">
        <v>68</v>
      </c>
    </row>
    <row r="3" spans="1:30" s="9" customFormat="1" ht="13.5" thickBot="1"/>
    <row r="4" spans="1:30" s="8" customFormat="1" ht="12.75" customHeight="1">
      <c r="A4" s="205" t="s">
        <v>105</v>
      </c>
      <c r="B4" s="207" t="s">
        <v>106</v>
      </c>
      <c r="C4" s="209" t="s">
        <v>107</v>
      </c>
      <c r="D4" s="207" t="s">
        <v>108</v>
      </c>
      <c r="E4" s="207" t="s">
        <v>110</v>
      </c>
      <c r="F4" s="207" t="s">
        <v>111</v>
      </c>
      <c r="G4" s="207" t="s">
        <v>112</v>
      </c>
      <c r="H4" s="207" t="s">
        <v>109</v>
      </c>
      <c r="I4" s="211" t="s">
        <v>0</v>
      </c>
      <c r="J4" s="212"/>
      <c r="K4" s="212"/>
      <c r="L4" s="213"/>
      <c r="M4" s="211" t="s">
        <v>5</v>
      </c>
      <c r="N4" s="212"/>
      <c r="O4" s="212"/>
      <c r="P4" s="213"/>
      <c r="Q4" s="203" t="s">
        <v>83</v>
      </c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1:30" s="8" customFormat="1" ht="13.5" thickBot="1">
      <c r="A5" s="206"/>
      <c r="B5" s="208"/>
      <c r="C5" s="210"/>
      <c r="D5" s="208"/>
      <c r="E5" s="208"/>
      <c r="F5" s="208"/>
      <c r="G5" s="208"/>
      <c r="H5" s="208"/>
      <c r="I5" s="85" t="s">
        <v>1</v>
      </c>
      <c r="J5" s="85" t="s">
        <v>2</v>
      </c>
      <c r="K5" s="85" t="s">
        <v>3</v>
      </c>
      <c r="L5" s="85" t="s">
        <v>4</v>
      </c>
      <c r="M5" s="86" t="s">
        <v>6</v>
      </c>
      <c r="N5" s="85" t="s">
        <v>7</v>
      </c>
      <c r="O5" s="85" t="s">
        <v>8</v>
      </c>
      <c r="P5" s="85" t="s">
        <v>9</v>
      </c>
      <c r="Q5" s="20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1:30" s="8" customFormat="1" ht="25.5">
      <c r="A6" s="84" t="s">
        <v>80</v>
      </c>
      <c r="B6" s="37">
        <v>149</v>
      </c>
      <c r="C6" s="48" t="s">
        <v>167</v>
      </c>
      <c r="D6" s="49">
        <v>100</v>
      </c>
      <c r="E6" s="50">
        <f>[8]Лист1!$J$35</f>
        <v>0.8</v>
      </c>
      <c r="F6" s="50">
        <f>[8]Лист1!$J$36</f>
        <v>0.1</v>
      </c>
      <c r="G6" s="50">
        <f>[8]Лист1!$J$37</f>
        <v>1.7</v>
      </c>
      <c r="H6" s="51">
        <f>[8]Лист1!$J$38</f>
        <v>11</v>
      </c>
      <c r="I6" s="52">
        <f>[8]Лист1!$M$40</f>
        <v>0.02</v>
      </c>
      <c r="J6" s="52">
        <f>[8]Лист1!$M$39</f>
        <v>2.5</v>
      </c>
      <c r="K6" s="52">
        <f>[8]Лист1!$M$41</f>
        <v>0</v>
      </c>
      <c r="L6" s="52">
        <f>[8]Лист1!$M$42</f>
        <v>0.1</v>
      </c>
      <c r="M6" s="52">
        <f>[8]Лист1!$M$35</f>
        <v>23.2</v>
      </c>
      <c r="N6" s="52">
        <f>[8]Лист1!$M$36</f>
        <v>24.2</v>
      </c>
      <c r="O6" s="52">
        <f>[8]Лист1!$M$37</f>
        <v>14.1</v>
      </c>
      <c r="P6" s="52">
        <f>[8]Лист1!$M$38</f>
        <v>0.6</v>
      </c>
      <c r="Q6" s="196" t="s">
        <v>165</v>
      </c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</row>
    <row r="7" spans="1:30" ht="22.5">
      <c r="A7" s="55"/>
      <c r="B7" s="39">
        <v>310</v>
      </c>
      <c r="C7" s="43" t="s">
        <v>137</v>
      </c>
      <c r="D7" s="44">
        <v>120</v>
      </c>
      <c r="E7" s="45">
        <f>[9]Лист1!$J$43</f>
        <v>17.600000000000001</v>
      </c>
      <c r="F7" s="45">
        <f>[9]Лист1!$J$44</f>
        <v>3.2</v>
      </c>
      <c r="G7" s="45">
        <f>[9]Лист1!$J$45</f>
        <v>12.8</v>
      </c>
      <c r="H7" s="46">
        <f>[9]Лист1!$J$46</f>
        <v>150.4</v>
      </c>
      <c r="I7" s="47">
        <f>[9]Лист1!$M$48</f>
        <v>0.20799999999999999</v>
      </c>
      <c r="J7" s="47">
        <f>[9]Лист1!$M$47</f>
        <v>3.52</v>
      </c>
      <c r="K7" s="47">
        <f>[9]Лист1!$M$49</f>
        <v>24</v>
      </c>
      <c r="L7" s="47">
        <f>[9]Лист1!$M$50</f>
        <v>1.76</v>
      </c>
      <c r="M7" s="47">
        <f>[9]Лист1!$M$43</f>
        <v>80</v>
      </c>
      <c r="N7" s="47">
        <f>[9]Лист1!$M$44</f>
        <v>254.4</v>
      </c>
      <c r="O7" s="47">
        <f>[9]Лист1!$M$45</f>
        <v>43.2</v>
      </c>
      <c r="P7" s="47">
        <f>[9]Лист1!$M$46</f>
        <v>1.52</v>
      </c>
      <c r="Q7" s="197" t="s">
        <v>91</v>
      </c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1:30">
      <c r="A8" s="55"/>
      <c r="B8" s="38">
        <v>152</v>
      </c>
      <c r="C8" s="32" t="s">
        <v>89</v>
      </c>
      <c r="D8" s="33">
        <v>180</v>
      </c>
      <c r="E8" s="34">
        <f>[10]Лист1!$J$23</f>
        <v>3.42</v>
      </c>
      <c r="F8" s="34">
        <f>[10]Лист1!$J$24</f>
        <v>9.2519999999999989</v>
      </c>
      <c r="G8" s="34">
        <f>[10]Лист1!$J$25</f>
        <v>19.026</v>
      </c>
      <c r="H8" s="34">
        <f>[10]Лист1!$J$26</f>
        <v>173.142</v>
      </c>
      <c r="I8" s="30">
        <f>[10]Лист1!$M$28</f>
        <v>1.9799999999999998E-2</v>
      </c>
      <c r="J8" s="30">
        <f>[10]Лист1!$M$27</f>
        <v>24.858000000000001</v>
      </c>
      <c r="K8" s="30">
        <f>[10]Лист1!$M$29</f>
        <v>0</v>
      </c>
      <c r="L8" s="30">
        <f>[10]Лист1!$M$30</f>
        <v>3.9419999999999997</v>
      </c>
      <c r="M8" s="30">
        <f>[10]Лист1!$M$23</f>
        <v>20.502000000000002</v>
      </c>
      <c r="N8" s="30">
        <f>[10]Лист1!$M$24</f>
        <v>93.771000000000001</v>
      </c>
      <c r="O8" s="30">
        <f>[10]Лист1!$M$25</f>
        <v>34.965000000000003</v>
      </c>
      <c r="P8" s="30">
        <f>[10]Лист1!$M$26</f>
        <v>1.3859999999999999</v>
      </c>
      <c r="Q8" s="186" t="s">
        <v>90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>
      <c r="A9" s="55"/>
      <c r="B9" s="38">
        <v>114</v>
      </c>
      <c r="C9" s="32" t="s">
        <v>13</v>
      </c>
      <c r="D9" s="33">
        <v>40</v>
      </c>
      <c r="E9" s="34">
        <v>3.16</v>
      </c>
      <c r="F9" s="34">
        <v>0.4</v>
      </c>
      <c r="G9" s="34">
        <v>19.32</v>
      </c>
      <c r="H9" s="34">
        <v>94</v>
      </c>
      <c r="I9" s="30">
        <v>0.08</v>
      </c>
      <c r="J9" s="30">
        <v>0</v>
      </c>
      <c r="K9" s="30">
        <v>0.56799999999999995</v>
      </c>
      <c r="L9" s="30">
        <v>0.30399999999999999</v>
      </c>
      <c r="M9" s="30">
        <v>9.1999999999999993</v>
      </c>
      <c r="N9" s="30">
        <v>30</v>
      </c>
      <c r="O9" s="30">
        <v>13.2</v>
      </c>
      <c r="P9" s="30">
        <v>0.76</v>
      </c>
      <c r="Q9" s="186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1:30">
      <c r="A10" s="55"/>
      <c r="B10" s="38">
        <v>463</v>
      </c>
      <c r="C10" s="32" t="s">
        <v>162</v>
      </c>
      <c r="D10" s="33">
        <v>200</v>
      </c>
      <c r="E10" s="34">
        <f>[11]Лист1!$J$23</f>
        <v>3.2</v>
      </c>
      <c r="F10" s="34">
        <f>[11]Лист1!$J$24</f>
        <v>3.6</v>
      </c>
      <c r="G10" s="34">
        <f>[11]Лист1!$J$25</f>
        <v>19.2</v>
      </c>
      <c r="H10" s="35">
        <f>[11]Лист1!$J$26</f>
        <v>122</v>
      </c>
      <c r="I10" s="30">
        <f>[11]Лист1!$M$28</f>
        <v>0.02</v>
      </c>
      <c r="J10" s="30">
        <f>[11]Лист1!$M$27</f>
        <v>0.2</v>
      </c>
      <c r="K10" s="30">
        <f>[11]Лист1!$M$29</f>
        <v>15.2</v>
      </c>
      <c r="L10" s="30">
        <f>[11]Лист1!$M$30</f>
        <v>0.08</v>
      </c>
      <c r="M10" s="30">
        <f>[11]Лист1!$M$23</f>
        <v>108</v>
      </c>
      <c r="N10" s="30">
        <f>[11]Лист1!$M$24</f>
        <v>85.4</v>
      </c>
      <c r="O10" s="30">
        <f>[11]Лист1!$M$25</f>
        <v>21.3</v>
      </c>
      <c r="P10" s="30">
        <f>[11]Лист1!$M$26</f>
        <v>0.57999999999999996</v>
      </c>
      <c r="Q10" s="186" t="s">
        <v>163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ht="13.5" thickBot="1">
      <c r="A11" s="70"/>
      <c r="B11" s="38"/>
      <c r="C11" s="32"/>
      <c r="D11" s="33"/>
      <c r="E11" s="34"/>
      <c r="F11" s="34"/>
      <c r="G11" s="34"/>
      <c r="H11" s="35"/>
      <c r="I11" s="30"/>
      <c r="J11" s="30"/>
      <c r="K11" s="30"/>
      <c r="L11" s="30"/>
      <c r="M11" s="30"/>
      <c r="N11" s="30"/>
      <c r="O11" s="30"/>
      <c r="P11" s="30"/>
      <c r="Q11" s="186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0" ht="13.5" thickBot="1">
      <c r="A12" s="56" t="s">
        <v>143</v>
      </c>
      <c r="B12" s="57"/>
      <c r="C12" s="58"/>
      <c r="D12" s="59">
        <f>D6+D7+D8+D9+D10+D11</f>
        <v>640</v>
      </c>
      <c r="E12" s="60">
        <f>E6+E7+E8+E9+E10+E11</f>
        <v>28.18</v>
      </c>
      <c r="F12" s="60">
        <f t="shared" ref="F12:P12" si="0">F6+F7+F8+F9+F10+F11</f>
        <v>16.552</v>
      </c>
      <c r="G12" s="60">
        <f t="shared" si="0"/>
        <v>72.045999999999992</v>
      </c>
      <c r="H12" s="60">
        <f t="shared" si="0"/>
        <v>550.54200000000003</v>
      </c>
      <c r="I12" s="60">
        <f t="shared" si="0"/>
        <v>0.3478</v>
      </c>
      <c r="J12" s="60">
        <f t="shared" si="0"/>
        <v>31.077999999999999</v>
      </c>
      <c r="K12" s="60">
        <f t="shared" si="0"/>
        <v>39.768000000000001</v>
      </c>
      <c r="L12" s="60">
        <f t="shared" si="0"/>
        <v>6.1859999999999999</v>
      </c>
      <c r="M12" s="60">
        <f t="shared" si="0"/>
        <v>240.90199999999999</v>
      </c>
      <c r="N12" s="60">
        <f t="shared" si="0"/>
        <v>487.77100000000007</v>
      </c>
      <c r="O12" s="60">
        <f t="shared" si="0"/>
        <v>126.76500000000001</v>
      </c>
      <c r="P12" s="60">
        <f t="shared" si="0"/>
        <v>4.8460000000000001</v>
      </c>
      <c r="Q12" s="77" t="s">
        <v>84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30" s="194" customFormat="1" ht="12" thickBot="1">
      <c r="A13" s="187"/>
      <c r="B13" s="188"/>
      <c r="C13" s="189" t="s">
        <v>115</v>
      </c>
      <c r="D13" s="190"/>
      <c r="E13" s="191">
        <v>90</v>
      </c>
      <c r="F13" s="191">
        <v>92</v>
      </c>
      <c r="G13" s="191">
        <v>383</v>
      </c>
      <c r="H13" s="191">
        <v>2720</v>
      </c>
      <c r="I13" s="192"/>
      <c r="J13" s="192"/>
      <c r="K13" s="192"/>
      <c r="L13" s="192"/>
      <c r="M13" s="192"/>
      <c r="N13" s="192"/>
      <c r="O13" s="192"/>
      <c r="P13" s="192"/>
      <c r="Q13" s="78" t="s">
        <v>85</v>
      </c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</row>
    <row r="14" spans="1:30" ht="13.5" thickBot="1">
      <c r="A14" s="56"/>
      <c r="B14" s="57"/>
      <c r="C14" s="67" t="s">
        <v>116</v>
      </c>
      <c r="D14" s="59"/>
      <c r="E14" s="68">
        <f>E12*100/E13</f>
        <v>31.31111111111111</v>
      </c>
      <c r="F14" s="68">
        <f>F12*100/F13</f>
        <v>17.991304347826087</v>
      </c>
      <c r="G14" s="68">
        <f>G12*100/G13</f>
        <v>18.810966057441252</v>
      </c>
      <c r="H14" s="68">
        <f>H12*100/H13</f>
        <v>20.240514705882354</v>
      </c>
      <c r="I14" s="60"/>
      <c r="J14" s="60"/>
      <c r="K14" s="60"/>
      <c r="L14" s="60"/>
      <c r="M14" s="60"/>
      <c r="N14" s="60"/>
      <c r="O14" s="60"/>
      <c r="P14" s="60"/>
      <c r="Q14" s="79" t="s">
        <v>92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30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</row>
  </sheetData>
  <mergeCells count="12">
    <mergeCell ref="M4:P4"/>
    <mergeCell ref="A1:Q1"/>
    <mergeCell ref="Q4:Q5"/>
    <mergeCell ref="B4:B5"/>
    <mergeCell ref="C4:C5"/>
    <mergeCell ref="D4:D5"/>
    <mergeCell ref="F4:F5"/>
    <mergeCell ref="A4:A5"/>
    <mergeCell ref="E4:E5"/>
    <mergeCell ref="G4:G5"/>
    <mergeCell ref="H4:H5"/>
    <mergeCell ref="I4:L4"/>
  </mergeCells>
  <phoneticPr fontId="3" type="noConversion"/>
  <pageMargins left="0.75" right="0.75" top="1" bottom="1" header="0.5" footer="0.5"/>
  <pageSetup paperSize="9" scale="83" fitToHeight="0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5"/>
  <sheetViews>
    <sheetView workbookViewId="0">
      <selection sqref="A1:Q14"/>
    </sheetView>
  </sheetViews>
  <sheetFormatPr defaultRowHeight="12.75"/>
  <cols>
    <col min="1" max="1" width="6.28515625" customWidth="1"/>
    <col min="2" max="2" width="4" bestFit="1" customWidth="1"/>
    <col min="3" max="3" width="37.28515625" customWidth="1"/>
    <col min="4" max="4" width="4" bestFit="1" customWidth="1"/>
    <col min="5" max="6" width="5.42578125" bestFit="1" customWidth="1"/>
    <col min="7" max="7" width="6.42578125" bestFit="1" customWidth="1"/>
    <col min="8" max="8" width="7.42578125" bestFit="1" customWidth="1"/>
    <col min="9" max="9" width="4.42578125" bestFit="1" customWidth="1"/>
    <col min="10" max="11" width="5.42578125" bestFit="1" customWidth="1"/>
    <col min="12" max="12" width="4.42578125" bestFit="1" customWidth="1"/>
    <col min="13" max="14" width="6.42578125" bestFit="1" customWidth="1"/>
    <col min="15" max="15" width="5.42578125" bestFit="1" customWidth="1"/>
    <col min="16" max="16" width="4.42578125" bestFit="1" customWidth="1"/>
    <col min="17" max="17" width="46" bestFit="1" customWidth="1"/>
  </cols>
  <sheetData>
    <row r="1" spans="1:30" s="10" customFormat="1">
      <c r="A1" s="202" t="s">
        <v>128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</row>
    <row r="2" spans="1:30" s="9" customFormat="1">
      <c r="A2" s="9" t="s">
        <v>69</v>
      </c>
    </row>
    <row r="3" spans="1:30" s="9" customFormat="1" ht="13.5" thickBot="1"/>
    <row r="4" spans="1:30" s="8" customFormat="1" ht="12.75" customHeight="1">
      <c r="A4" s="205" t="s">
        <v>105</v>
      </c>
      <c r="B4" s="207" t="s">
        <v>106</v>
      </c>
      <c r="C4" s="209" t="s">
        <v>107</v>
      </c>
      <c r="D4" s="207" t="s">
        <v>108</v>
      </c>
      <c r="E4" s="207" t="s">
        <v>110</v>
      </c>
      <c r="F4" s="207" t="s">
        <v>111</v>
      </c>
      <c r="G4" s="207" t="s">
        <v>112</v>
      </c>
      <c r="H4" s="207" t="s">
        <v>109</v>
      </c>
      <c r="I4" s="211" t="s">
        <v>0</v>
      </c>
      <c r="J4" s="212"/>
      <c r="K4" s="212"/>
      <c r="L4" s="213"/>
      <c r="M4" s="211" t="s">
        <v>5</v>
      </c>
      <c r="N4" s="212"/>
      <c r="O4" s="212"/>
      <c r="P4" s="213"/>
      <c r="Q4" s="203" t="s">
        <v>83</v>
      </c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1:30" s="8" customFormat="1" ht="13.5" thickBot="1">
      <c r="A5" s="206"/>
      <c r="B5" s="208"/>
      <c r="C5" s="210"/>
      <c r="D5" s="208"/>
      <c r="E5" s="208"/>
      <c r="F5" s="208"/>
      <c r="G5" s="208"/>
      <c r="H5" s="208"/>
      <c r="I5" s="85" t="s">
        <v>1</v>
      </c>
      <c r="J5" s="85" t="s">
        <v>2</v>
      </c>
      <c r="K5" s="85" t="s">
        <v>3</v>
      </c>
      <c r="L5" s="85" t="s">
        <v>4</v>
      </c>
      <c r="M5" s="86" t="s">
        <v>6</v>
      </c>
      <c r="N5" s="85" t="s">
        <v>7</v>
      </c>
      <c r="O5" s="85" t="s">
        <v>8</v>
      </c>
      <c r="P5" s="85" t="s">
        <v>9</v>
      </c>
      <c r="Q5" s="20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1:30" s="8" customFormat="1" ht="25.5">
      <c r="A6" s="84" t="s">
        <v>80</v>
      </c>
      <c r="B6" s="38">
        <v>150</v>
      </c>
      <c r="C6" s="114" t="s">
        <v>93</v>
      </c>
      <c r="D6" s="115">
        <v>100</v>
      </c>
      <c r="E6" s="116">
        <f>[12]Лист1!$J$35</f>
        <v>1.9</v>
      </c>
      <c r="F6" s="116">
        <f>[12]Лист1!$J$36</f>
        <v>8.9</v>
      </c>
      <c r="G6" s="116">
        <f>[12]Лист1!$J$37</f>
        <v>7.7</v>
      </c>
      <c r="H6" s="117">
        <f>[12]Лист1!$J$38</f>
        <v>118</v>
      </c>
      <c r="I6" s="118">
        <f>[12]Лист1!$M$40</f>
        <v>0.02</v>
      </c>
      <c r="J6" s="118">
        <f>[12]Лист1!$M$39</f>
        <v>7</v>
      </c>
      <c r="K6" s="118">
        <f>[12]Лист1!$M$41</f>
        <v>0</v>
      </c>
      <c r="L6" s="118">
        <f>[12]Лист1!$M$42</f>
        <v>3.1</v>
      </c>
      <c r="M6" s="118">
        <f>[12]Лист1!$M$35</f>
        <v>41</v>
      </c>
      <c r="N6" s="118">
        <f>[12]Лист1!$M$36</f>
        <v>37</v>
      </c>
      <c r="O6" s="118">
        <f>[12]Лист1!$M$37</f>
        <v>15</v>
      </c>
      <c r="P6" s="118">
        <f>[12]Лист1!$M$38</f>
        <v>0.7</v>
      </c>
      <c r="Q6" s="257" t="s">
        <v>94</v>
      </c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</row>
    <row r="7" spans="1:30">
      <c r="A7" s="55"/>
      <c r="B7" s="38">
        <v>330</v>
      </c>
      <c r="C7" s="32" t="s">
        <v>144</v>
      </c>
      <c r="D7" s="33">
        <v>200</v>
      </c>
      <c r="E7" s="34">
        <f>[13]Лист1!$J$43</f>
        <v>13.339130434782609</v>
      </c>
      <c r="F7" s="34">
        <f>[13]Лист1!$J$44</f>
        <v>10.521739130434783</v>
      </c>
      <c r="G7" s="34">
        <f>[13]Лист1!$J$45</f>
        <v>30.869565217391305</v>
      </c>
      <c r="H7" s="34">
        <f>[13]Лист1!$J$46</f>
        <v>271.56521739130437</v>
      </c>
      <c r="I7" s="30">
        <f>[13]Лист1!$M$48</f>
        <v>4.1739130434782605E-2</v>
      </c>
      <c r="J7" s="30">
        <f>[13]Лист1!$M$47</f>
        <v>0.76521739130434785</v>
      </c>
      <c r="K7" s="30">
        <f>[13]Лист1!$M$49</f>
        <v>0</v>
      </c>
      <c r="L7" s="30">
        <f>[13]Лист1!$M$50</f>
        <v>2.1043478260869564</v>
      </c>
      <c r="M7" s="30">
        <f>[13]Лист1!$M$43</f>
        <v>15.434782608695652</v>
      </c>
      <c r="N7" s="30">
        <f>[13]Лист1!$M$44</f>
        <v>155.08695652173913</v>
      </c>
      <c r="O7" s="30">
        <f>[13]Лист1!$M$45</f>
        <v>38.591304347826089</v>
      </c>
      <c r="P7" s="30">
        <f>[13]Лист1!$M$46</f>
        <v>1.4782608695652173</v>
      </c>
      <c r="Q7" s="186" t="s">
        <v>145</v>
      </c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1:30">
      <c r="A8" s="55"/>
      <c r="B8" s="38">
        <v>114</v>
      </c>
      <c r="C8" s="32" t="s">
        <v>13</v>
      </c>
      <c r="D8" s="33">
        <v>40</v>
      </c>
      <c r="E8" s="34">
        <v>3.16</v>
      </c>
      <c r="F8" s="34">
        <v>0.4</v>
      </c>
      <c r="G8" s="34">
        <v>19.32</v>
      </c>
      <c r="H8" s="34">
        <v>94</v>
      </c>
      <c r="I8" s="30">
        <v>0.08</v>
      </c>
      <c r="J8" s="30">
        <v>0</v>
      </c>
      <c r="K8" s="30">
        <v>0.56799999999999995</v>
      </c>
      <c r="L8" s="30">
        <v>0.30399999999999999</v>
      </c>
      <c r="M8" s="30">
        <v>9.1999999999999993</v>
      </c>
      <c r="N8" s="30">
        <v>30</v>
      </c>
      <c r="O8" s="30">
        <v>13.2</v>
      </c>
      <c r="P8" s="30">
        <v>0.76</v>
      </c>
      <c r="Q8" s="186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>
      <c r="A9" s="81"/>
      <c r="B9" s="38">
        <v>466</v>
      </c>
      <c r="C9" s="32" t="s">
        <v>160</v>
      </c>
      <c r="D9" s="33">
        <v>180</v>
      </c>
      <c r="E9" s="34">
        <f>[3]Лист1!$J$11</f>
        <v>2.34</v>
      </c>
      <c r="F9" s="34">
        <f>[3]Лист1!$J$12</f>
        <v>2.88</v>
      </c>
      <c r="G9" s="34">
        <f>[3]Лист1!$J$13</f>
        <v>17.100000000000001</v>
      </c>
      <c r="H9" s="35">
        <f>[3]Лист1!$J$14</f>
        <v>103.5</v>
      </c>
      <c r="I9" s="30">
        <f>[3]Лист1!$M$16</f>
        <v>1.8000000000000002E-2</v>
      </c>
      <c r="J9" s="30">
        <f>[3]Лист1!$M$15</f>
        <v>0.18</v>
      </c>
      <c r="K9" s="30">
        <f>[3]Лист1!$M$17</f>
        <v>13.68</v>
      </c>
      <c r="L9" s="30">
        <f>[3]Лист1!$M$18</f>
        <v>7.2000000000000008E-2</v>
      </c>
      <c r="M9" s="30">
        <f>[3]Лист1!$M$11</f>
        <v>94.5</v>
      </c>
      <c r="N9" s="30">
        <f>[3]Лист1!$M$12</f>
        <v>63.63</v>
      </c>
      <c r="O9" s="30">
        <f>[3]Лист1!$M$13</f>
        <v>10.44</v>
      </c>
      <c r="P9" s="30">
        <f>[3]Лист1!$M$14</f>
        <v>6.3E-2</v>
      </c>
      <c r="Q9" s="186" t="s">
        <v>161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1:30">
      <c r="A10" s="55"/>
      <c r="B10" s="38">
        <v>82</v>
      </c>
      <c r="C10" s="32" t="s">
        <v>34</v>
      </c>
      <c r="D10" s="33">
        <v>100</v>
      </c>
      <c r="E10" s="34">
        <f>[7]Лист1!$J$11</f>
        <v>0.4</v>
      </c>
      <c r="F10" s="34">
        <f>[7]Лист1!$J$12</f>
        <v>0.4</v>
      </c>
      <c r="G10" s="35">
        <f>[7]Лист1!$J$13</f>
        <v>9.8000000000000007</v>
      </c>
      <c r="H10" s="34">
        <f>[7]Лист1!$J$14</f>
        <v>44</v>
      </c>
      <c r="I10" s="30">
        <f>[7]Лист1!$M$16</f>
        <v>0.03</v>
      </c>
      <c r="J10" s="30">
        <f>[7]Лист1!$M$15</f>
        <v>7</v>
      </c>
      <c r="K10" s="30">
        <f>[7]Лист1!$M$17</f>
        <v>0</v>
      </c>
      <c r="L10" s="30">
        <f>[7]Лист1!$M$18</f>
        <v>0.2</v>
      </c>
      <c r="M10" s="30">
        <f>[7]Лист1!$M$11</f>
        <v>16.100000000000001</v>
      </c>
      <c r="N10" s="30">
        <f>[7]Лист1!$M$12</f>
        <v>11</v>
      </c>
      <c r="O10" s="30">
        <f>[7]Лист1!$M$13</f>
        <v>9</v>
      </c>
      <c r="P10" s="30">
        <f>[7]Лист1!$M$14</f>
        <v>2.21</v>
      </c>
      <c r="Q10" s="186" t="s">
        <v>87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ht="13.5" thickBot="1">
      <c r="A11" s="70"/>
      <c r="B11" s="80"/>
      <c r="C11" s="32"/>
      <c r="D11" s="33"/>
      <c r="E11" s="34"/>
      <c r="F11" s="34"/>
      <c r="G11" s="35"/>
      <c r="H11" s="34"/>
      <c r="I11" s="30"/>
      <c r="J11" s="30"/>
      <c r="K11" s="30"/>
      <c r="L11" s="30"/>
      <c r="M11" s="30"/>
      <c r="N11" s="30"/>
      <c r="O11" s="30"/>
      <c r="P11" s="30"/>
      <c r="Q11" s="186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0" ht="13.5" thickBot="1">
      <c r="A12" s="56" t="s">
        <v>143</v>
      </c>
      <c r="B12" s="57"/>
      <c r="C12" s="58"/>
      <c r="D12" s="59">
        <f>D6+D7+D8+D9+D10+D11</f>
        <v>620</v>
      </c>
      <c r="E12" s="60">
        <f>E6+E7+E8+E9+E10+E11</f>
        <v>21.139130434782608</v>
      </c>
      <c r="F12" s="60">
        <f t="shared" ref="F12:P12" si="0">F6+F7+F8+F9+F10+F11</f>
        <v>23.10173913043478</v>
      </c>
      <c r="G12" s="60">
        <f t="shared" si="0"/>
        <v>84.789565217391313</v>
      </c>
      <c r="H12" s="60">
        <f t="shared" si="0"/>
        <v>631.06521739130437</v>
      </c>
      <c r="I12" s="60">
        <f t="shared" si="0"/>
        <v>0.1897391304347826</v>
      </c>
      <c r="J12" s="60">
        <f t="shared" si="0"/>
        <v>14.945217391304347</v>
      </c>
      <c r="K12" s="60">
        <f t="shared" si="0"/>
        <v>14.247999999999999</v>
      </c>
      <c r="L12" s="60">
        <f t="shared" si="0"/>
        <v>5.780347826086957</v>
      </c>
      <c r="M12" s="60">
        <f t="shared" si="0"/>
        <v>176.23478260869567</v>
      </c>
      <c r="N12" s="60">
        <f t="shared" si="0"/>
        <v>296.71695652173912</v>
      </c>
      <c r="O12" s="60">
        <f t="shared" si="0"/>
        <v>86.231304347826082</v>
      </c>
      <c r="P12" s="60">
        <f t="shared" si="0"/>
        <v>5.2112608695652174</v>
      </c>
      <c r="Q12" s="77" t="s">
        <v>84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30" ht="13.5" thickBot="1">
      <c r="A13" s="61"/>
      <c r="B13" s="62"/>
      <c r="C13" s="63" t="s">
        <v>115</v>
      </c>
      <c r="D13" s="64"/>
      <c r="E13" s="65">
        <v>90</v>
      </c>
      <c r="F13" s="65">
        <v>92</v>
      </c>
      <c r="G13" s="65">
        <v>383</v>
      </c>
      <c r="H13" s="65">
        <v>2720</v>
      </c>
      <c r="I13" s="66"/>
      <c r="J13" s="66"/>
      <c r="K13" s="66"/>
      <c r="L13" s="66"/>
      <c r="M13" s="66"/>
      <c r="N13" s="66"/>
      <c r="O13" s="66"/>
      <c r="P13" s="66"/>
      <c r="Q13" s="78" t="s">
        <v>85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 spans="1:30" ht="13.5" thickBot="1">
      <c r="A14" s="56"/>
      <c r="B14" s="57"/>
      <c r="C14" s="67" t="s">
        <v>116</v>
      </c>
      <c r="D14" s="59"/>
      <c r="E14" s="68">
        <f>E12*100/E13</f>
        <v>23.487922705314013</v>
      </c>
      <c r="F14" s="68">
        <f>F12*100/F13</f>
        <v>25.110586011342154</v>
      </c>
      <c r="G14" s="68">
        <f>G12*100/G13</f>
        <v>22.138267680781023</v>
      </c>
      <c r="H14" s="68">
        <f>H12*100/H13</f>
        <v>23.200927109974426</v>
      </c>
      <c r="I14" s="60"/>
      <c r="J14" s="60"/>
      <c r="K14" s="60"/>
      <c r="L14" s="60"/>
      <c r="M14" s="60"/>
      <c r="N14" s="60"/>
      <c r="O14" s="60"/>
      <c r="P14" s="60"/>
      <c r="Q14" s="79" t="s">
        <v>92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30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</row>
  </sheetData>
  <mergeCells count="12">
    <mergeCell ref="A4:A5"/>
    <mergeCell ref="B4:B5"/>
    <mergeCell ref="C4:C5"/>
    <mergeCell ref="A1:Q1"/>
    <mergeCell ref="I4:L4"/>
    <mergeCell ref="M4:P4"/>
    <mergeCell ref="Q4:Q5"/>
    <mergeCell ref="D4:D5"/>
    <mergeCell ref="E4:E5"/>
    <mergeCell ref="F4:F5"/>
    <mergeCell ref="G4:G5"/>
    <mergeCell ref="H4:H5"/>
  </mergeCells>
  <phoneticPr fontId="3" type="noConversion"/>
  <pageMargins left="0.75" right="0.75" top="1" bottom="1" header="0.5" footer="0.5"/>
  <pageSetup paperSize="9" scale="80" orientation="landscape" r:id="rId1"/>
  <headerFooter alignWithMargins="0"/>
  <ignoredErrors>
    <ignoredError sqref="E13:H14 E12:H12 D12 I12:P1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4"/>
  <sheetViews>
    <sheetView workbookViewId="0">
      <selection sqref="A1:Q14"/>
    </sheetView>
  </sheetViews>
  <sheetFormatPr defaultRowHeight="12.75"/>
  <cols>
    <col min="1" max="1" width="6.28515625" style="9" customWidth="1"/>
    <col min="2" max="2" width="5" style="9" bestFit="1" customWidth="1"/>
    <col min="3" max="3" width="34.5703125" style="9" customWidth="1"/>
    <col min="4" max="4" width="4" style="9" bestFit="1" customWidth="1"/>
    <col min="5" max="7" width="5.42578125" style="9" bestFit="1" customWidth="1"/>
    <col min="8" max="8" width="6.42578125" style="9" bestFit="1" customWidth="1"/>
    <col min="9" max="9" width="4.42578125" style="9" bestFit="1" customWidth="1"/>
    <col min="10" max="10" width="5.42578125" style="9" bestFit="1" customWidth="1"/>
    <col min="11" max="11" width="6.42578125" style="9" bestFit="1" customWidth="1"/>
    <col min="12" max="12" width="4.42578125" style="9" bestFit="1" customWidth="1"/>
    <col min="13" max="15" width="6.42578125" style="9" bestFit="1" customWidth="1"/>
    <col min="16" max="16" width="4.42578125" style="9" bestFit="1" customWidth="1"/>
    <col min="17" max="17" width="42.7109375" bestFit="1" customWidth="1"/>
  </cols>
  <sheetData>
    <row r="1" spans="1:30" s="1" customFormat="1">
      <c r="A1" s="202" t="s">
        <v>125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</row>
    <row r="2" spans="1:30">
      <c r="A2" s="9" t="s">
        <v>76</v>
      </c>
    </row>
    <row r="3" spans="1:30" s="9" customFormat="1" ht="13.5" thickBot="1"/>
    <row r="4" spans="1:30" s="8" customFormat="1" ht="12.75" customHeight="1">
      <c r="A4" s="205" t="s">
        <v>105</v>
      </c>
      <c r="B4" s="207" t="s">
        <v>106</v>
      </c>
      <c r="C4" s="209" t="s">
        <v>107</v>
      </c>
      <c r="D4" s="207" t="s">
        <v>108</v>
      </c>
      <c r="E4" s="207" t="s">
        <v>110</v>
      </c>
      <c r="F4" s="207" t="s">
        <v>111</v>
      </c>
      <c r="G4" s="207" t="s">
        <v>112</v>
      </c>
      <c r="H4" s="207" t="s">
        <v>109</v>
      </c>
      <c r="I4" s="211" t="s">
        <v>0</v>
      </c>
      <c r="J4" s="212"/>
      <c r="K4" s="212"/>
      <c r="L4" s="213"/>
      <c r="M4" s="211" t="s">
        <v>5</v>
      </c>
      <c r="N4" s="212"/>
      <c r="O4" s="212"/>
      <c r="P4" s="213"/>
      <c r="Q4" s="203" t="s">
        <v>83</v>
      </c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1:30" s="8" customFormat="1" ht="13.5" thickBot="1">
      <c r="A5" s="206"/>
      <c r="B5" s="208"/>
      <c r="C5" s="210"/>
      <c r="D5" s="208"/>
      <c r="E5" s="208"/>
      <c r="F5" s="208"/>
      <c r="G5" s="208"/>
      <c r="H5" s="208"/>
      <c r="I5" s="85" t="s">
        <v>1</v>
      </c>
      <c r="J5" s="85" t="s">
        <v>2</v>
      </c>
      <c r="K5" s="85" t="s">
        <v>3</v>
      </c>
      <c r="L5" s="85" t="s">
        <v>4</v>
      </c>
      <c r="M5" s="86" t="s">
        <v>6</v>
      </c>
      <c r="N5" s="85" t="s">
        <v>7</v>
      </c>
      <c r="O5" s="85" t="s">
        <v>8</v>
      </c>
      <c r="P5" s="85" t="s">
        <v>9</v>
      </c>
      <c r="Q5" s="20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1:30" s="8" customFormat="1" ht="22.5">
      <c r="A6" s="87" t="s">
        <v>80</v>
      </c>
      <c r="B6" s="38">
        <v>374</v>
      </c>
      <c r="C6" s="32" t="s">
        <v>146</v>
      </c>
      <c r="D6" s="33">
        <v>100</v>
      </c>
      <c r="E6" s="34">
        <f>[14]Лист1!$J$29</f>
        <v>12.4</v>
      </c>
      <c r="F6" s="34">
        <f>[14]Лист1!$J$30</f>
        <v>9.4</v>
      </c>
      <c r="G6" s="34">
        <f>[14]Лист1!$J$31</f>
        <v>9.8000000000000007</v>
      </c>
      <c r="H6" s="34">
        <f>[14]Лист1!$J$32</f>
        <v>174</v>
      </c>
      <c r="I6" s="30">
        <f>[14]Лист1!$M$34</f>
        <v>7.0000000000000007E-2</v>
      </c>
      <c r="J6" s="30">
        <f>[14]Лист1!$M$33</f>
        <v>0.8</v>
      </c>
      <c r="K6" s="30">
        <f>[14]Лист1!$M$35</f>
        <v>66.7</v>
      </c>
      <c r="L6" s="30">
        <f>[14]Лист1!$M$36</f>
        <v>0.5</v>
      </c>
      <c r="M6" s="30">
        <f>[14]Лист1!$M$29</f>
        <v>107.80000000000001</v>
      </c>
      <c r="N6" s="30">
        <f>[14]Лист1!$M$30</f>
        <v>109.9</v>
      </c>
      <c r="O6" s="30">
        <f>[14]Лист1!$M$31</f>
        <v>20.399999999999999</v>
      </c>
      <c r="P6" s="30">
        <f>[14]Лист1!$M$32</f>
        <v>1.0166666666666666</v>
      </c>
      <c r="Q6" s="255" t="s">
        <v>147</v>
      </c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</row>
    <row r="7" spans="1:30" ht="22.5">
      <c r="A7" s="81"/>
      <c r="B7" s="38">
        <v>213</v>
      </c>
      <c r="C7" s="32" t="s">
        <v>148</v>
      </c>
      <c r="D7" s="33">
        <v>210</v>
      </c>
      <c r="E7" s="34">
        <f>[15]Лист1!$J$35</f>
        <v>9.24</v>
      </c>
      <c r="F7" s="34">
        <f>[15]Лист1!$J$36</f>
        <v>7.98</v>
      </c>
      <c r="G7" s="34">
        <f>[15]Лист1!$J$37</f>
        <v>33.6</v>
      </c>
      <c r="H7" s="35">
        <f>[15]Лист1!$J$38</f>
        <v>243.18</v>
      </c>
      <c r="I7" s="30">
        <f>[15]Лист1!$M$40</f>
        <v>0.19739999999999996</v>
      </c>
      <c r="J7" s="30">
        <f>[15]Лист1!$M$39</f>
        <v>0.63</v>
      </c>
      <c r="K7" s="30">
        <f>[15]Лист1!$M$41</f>
        <v>40.11</v>
      </c>
      <c r="L7" s="30">
        <f>[15]Лист1!$M$42</f>
        <v>0.46200000000000008</v>
      </c>
      <c r="M7" s="30">
        <f>[15]Лист1!$M$35</f>
        <v>121.38</v>
      </c>
      <c r="N7" s="30">
        <f>[15]Лист1!$M$36</f>
        <v>232.26</v>
      </c>
      <c r="O7" s="30">
        <f>[15]Лист1!$M$37</f>
        <v>115.71</v>
      </c>
      <c r="P7" s="30">
        <f>[15]Лист1!$M$38</f>
        <v>3.57</v>
      </c>
      <c r="Q7" s="255" t="s">
        <v>149</v>
      </c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1:30">
      <c r="A8" s="55"/>
      <c r="B8" s="38">
        <v>114</v>
      </c>
      <c r="C8" s="32" t="s">
        <v>13</v>
      </c>
      <c r="D8" s="33">
        <v>40</v>
      </c>
      <c r="E8" s="34">
        <v>3.16</v>
      </c>
      <c r="F8" s="34">
        <v>0.4</v>
      </c>
      <c r="G8" s="34">
        <v>19.32</v>
      </c>
      <c r="H8" s="34">
        <v>94</v>
      </c>
      <c r="I8" s="30">
        <v>0.08</v>
      </c>
      <c r="J8" s="30">
        <v>0</v>
      </c>
      <c r="K8" s="30">
        <v>0.56799999999999995</v>
      </c>
      <c r="L8" s="30">
        <v>0.30399999999999999</v>
      </c>
      <c r="M8" s="30">
        <v>9.1999999999999993</v>
      </c>
      <c r="N8" s="30">
        <v>30</v>
      </c>
      <c r="O8" s="30">
        <v>13.2</v>
      </c>
      <c r="P8" s="30">
        <v>0.76</v>
      </c>
      <c r="Q8" s="186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>
      <c r="A9" s="55"/>
      <c r="B9" s="38">
        <v>457</v>
      </c>
      <c r="C9" s="32" t="s">
        <v>78</v>
      </c>
      <c r="D9" s="33">
        <v>200</v>
      </c>
      <c r="E9" s="34">
        <f>[6]Лист1!$J$23</f>
        <v>0.2</v>
      </c>
      <c r="F9" s="34">
        <f>[6]Лист1!$J$24</f>
        <v>0.1</v>
      </c>
      <c r="G9" s="34">
        <f>[6]Лист1!$J$25</f>
        <v>9.3000000000000007</v>
      </c>
      <c r="H9" s="35">
        <f>[6]Лист1!$J$26</f>
        <v>38</v>
      </c>
      <c r="I9" s="30">
        <f>[6]Лист1!$M$28</f>
        <v>0.03</v>
      </c>
      <c r="J9" s="30">
        <f>[6]Лист1!$M$27</f>
        <v>0.7</v>
      </c>
      <c r="K9" s="30">
        <f>[6]Лист1!$M$29</f>
        <v>19</v>
      </c>
      <c r="L9" s="30">
        <f>[6]Лист1!$M$30</f>
        <v>0</v>
      </c>
      <c r="M9" s="30">
        <f>[6]Лист1!$M$23</f>
        <v>108.3</v>
      </c>
      <c r="N9" s="30">
        <f>[6]Лист1!$M$24</f>
        <v>76.5</v>
      </c>
      <c r="O9" s="30">
        <f>[6]Лист1!$M$25</f>
        <v>12.6</v>
      </c>
      <c r="P9" s="30">
        <f>[6]Лист1!$M$30</f>
        <v>0</v>
      </c>
      <c r="Q9" s="186" t="s">
        <v>86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1:30">
      <c r="A10" s="55"/>
      <c r="B10" s="38"/>
      <c r="C10" s="32"/>
      <c r="D10" s="33"/>
      <c r="E10" s="34"/>
      <c r="F10" s="34"/>
      <c r="G10" s="35"/>
      <c r="H10" s="34"/>
      <c r="I10" s="30"/>
      <c r="J10" s="30"/>
      <c r="K10" s="30"/>
      <c r="L10" s="30"/>
      <c r="M10" s="30"/>
      <c r="N10" s="30"/>
      <c r="O10" s="30"/>
      <c r="P10" s="30"/>
      <c r="Q10" s="186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ht="13.5" thickBot="1">
      <c r="A11" s="55"/>
      <c r="B11" s="38"/>
      <c r="C11" s="32"/>
      <c r="D11" s="33"/>
      <c r="E11" s="34"/>
      <c r="F11" s="34"/>
      <c r="G11" s="35"/>
      <c r="H11" s="34"/>
      <c r="I11" s="30"/>
      <c r="J11" s="30"/>
      <c r="K11" s="30"/>
      <c r="L11" s="30"/>
      <c r="M11" s="30"/>
      <c r="N11" s="30"/>
      <c r="O11" s="30"/>
      <c r="P11" s="30"/>
      <c r="Q11" s="186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0" ht="13.5" thickBot="1">
      <c r="A12" s="56" t="s">
        <v>143</v>
      </c>
      <c r="B12" s="57"/>
      <c r="C12" s="58"/>
      <c r="D12" s="59">
        <f>SUM(D6:D11)</f>
        <v>550</v>
      </c>
      <c r="E12" s="60">
        <f>E6+E7+E8+E9+E10+E11</f>
        <v>25</v>
      </c>
      <c r="F12" s="60">
        <f t="shared" ref="F12:P12" si="0">F6+F7+F8+F9+F10+F11</f>
        <v>17.880000000000003</v>
      </c>
      <c r="G12" s="60">
        <f t="shared" si="0"/>
        <v>72.02000000000001</v>
      </c>
      <c r="H12" s="60">
        <f t="shared" si="0"/>
        <v>549.18000000000006</v>
      </c>
      <c r="I12" s="60">
        <f t="shared" si="0"/>
        <v>0.37739999999999996</v>
      </c>
      <c r="J12" s="60">
        <f t="shared" si="0"/>
        <v>2.13</v>
      </c>
      <c r="K12" s="60">
        <f t="shared" si="0"/>
        <v>126.378</v>
      </c>
      <c r="L12" s="60">
        <f t="shared" si="0"/>
        <v>1.266</v>
      </c>
      <c r="M12" s="60">
        <f t="shared" si="0"/>
        <v>346.68</v>
      </c>
      <c r="N12" s="60">
        <f t="shared" si="0"/>
        <v>448.65999999999997</v>
      </c>
      <c r="O12" s="60">
        <f t="shared" si="0"/>
        <v>161.90999999999997</v>
      </c>
      <c r="P12" s="99">
        <f t="shared" si="0"/>
        <v>5.3466666666666658</v>
      </c>
      <c r="Q12" s="77" t="s">
        <v>84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30" s="194" customFormat="1" ht="12" thickBot="1">
      <c r="A13" s="187"/>
      <c r="B13" s="188"/>
      <c r="C13" s="189" t="s">
        <v>115</v>
      </c>
      <c r="D13" s="190"/>
      <c r="E13" s="191">
        <v>90</v>
      </c>
      <c r="F13" s="191">
        <v>92</v>
      </c>
      <c r="G13" s="191">
        <v>383</v>
      </c>
      <c r="H13" s="191">
        <v>2720</v>
      </c>
      <c r="I13" s="192"/>
      <c r="J13" s="192"/>
      <c r="K13" s="192"/>
      <c r="L13" s="192"/>
      <c r="M13" s="192"/>
      <c r="N13" s="192"/>
      <c r="O13" s="192"/>
      <c r="P13" s="192"/>
      <c r="Q13" s="78" t="s">
        <v>85</v>
      </c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</row>
    <row r="14" spans="1:30" ht="13.5" thickBot="1">
      <c r="A14" s="56"/>
      <c r="B14" s="57"/>
      <c r="C14" s="67" t="s">
        <v>116</v>
      </c>
      <c r="D14" s="59"/>
      <c r="E14" s="68">
        <f>E12*100/E13</f>
        <v>27.777777777777779</v>
      </c>
      <c r="F14" s="68">
        <f>F12*100/F13</f>
        <v>19.434782608695656</v>
      </c>
      <c r="G14" s="68">
        <f>G12*100/G13</f>
        <v>18.804177545691907</v>
      </c>
      <c r="H14" s="68">
        <f>H12*100/H13</f>
        <v>20.190441176470593</v>
      </c>
      <c r="I14" s="60"/>
      <c r="J14" s="60"/>
      <c r="K14" s="60"/>
      <c r="L14" s="60"/>
      <c r="M14" s="60"/>
      <c r="N14" s="60"/>
      <c r="O14" s="60"/>
      <c r="P14" s="60"/>
      <c r="Q14" s="79" t="s">
        <v>92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</sheetData>
  <mergeCells count="12">
    <mergeCell ref="A1:Q1"/>
    <mergeCell ref="Q4:Q5"/>
    <mergeCell ref="F4:F5"/>
    <mergeCell ref="G4:G5"/>
    <mergeCell ref="H4:H5"/>
    <mergeCell ref="I4:L4"/>
    <mergeCell ref="M4:P4"/>
    <mergeCell ref="A4:A5"/>
    <mergeCell ref="E4:E5"/>
    <mergeCell ref="B4:B5"/>
    <mergeCell ref="C4:C5"/>
    <mergeCell ref="D4:D5"/>
  </mergeCells>
  <phoneticPr fontId="3" type="noConversion"/>
  <pageMargins left="0.75" right="0.75" top="1" bottom="1" header="0.5" footer="0.5"/>
  <pageSetup paperSize="9" scale="8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5"/>
  <sheetViews>
    <sheetView workbookViewId="0">
      <selection sqref="A1:Q14"/>
    </sheetView>
  </sheetViews>
  <sheetFormatPr defaultRowHeight="12.75"/>
  <cols>
    <col min="1" max="1" width="6.28515625" customWidth="1"/>
    <col min="2" max="2" width="5" customWidth="1"/>
    <col min="3" max="3" width="34.5703125" customWidth="1"/>
    <col min="4" max="4" width="4" bestFit="1" customWidth="1"/>
    <col min="5" max="7" width="5.42578125" bestFit="1" customWidth="1"/>
    <col min="8" max="8" width="6.42578125" bestFit="1" customWidth="1"/>
    <col min="9" max="10" width="4.42578125" bestFit="1" customWidth="1"/>
    <col min="11" max="11" width="6.42578125" bestFit="1" customWidth="1"/>
    <col min="12" max="12" width="4.42578125" bestFit="1" customWidth="1"/>
    <col min="13" max="14" width="6.42578125" bestFit="1" customWidth="1"/>
    <col min="15" max="15" width="5.42578125" bestFit="1" customWidth="1"/>
    <col min="16" max="16" width="4.42578125" bestFit="1" customWidth="1"/>
    <col min="17" max="17" width="36.7109375" bestFit="1" customWidth="1"/>
  </cols>
  <sheetData>
    <row r="1" spans="1:30" s="10" customFormat="1">
      <c r="A1" s="202" t="s">
        <v>131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</row>
    <row r="2" spans="1:30" s="9" customFormat="1">
      <c r="A2" s="9" t="s">
        <v>72</v>
      </c>
      <c r="B2" s="10"/>
    </row>
    <row r="3" spans="1:30" s="9" customFormat="1" ht="13.5" thickBot="1"/>
    <row r="4" spans="1:30" s="8" customFormat="1" ht="12.75" customHeight="1">
      <c r="A4" s="205" t="s">
        <v>105</v>
      </c>
      <c r="B4" s="207" t="s">
        <v>106</v>
      </c>
      <c r="C4" s="209" t="s">
        <v>107</v>
      </c>
      <c r="D4" s="207" t="s">
        <v>108</v>
      </c>
      <c r="E4" s="207" t="s">
        <v>110</v>
      </c>
      <c r="F4" s="207" t="s">
        <v>111</v>
      </c>
      <c r="G4" s="207" t="s">
        <v>112</v>
      </c>
      <c r="H4" s="207" t="s">
        <v>109</v>
      </c>
      <c r="I4" s="211" t="s">
        <v>0</v>
      </c>
      <c r="J4" s="212"/>
      <c r="K4" s="212"/>
      <c r="L4" s="213"/>
      <c r="M4" s="211" t="s">
        <v>5</v>
      </c>
      <c r="N4" s="212"/>
      <c r="O4" s="212"/>
      <c r="P4" s="213"/>
      <c r="Q4" s="203" t="s">
        <v>83</v>
      </c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1:30" s="8" customFormat="1" ht="13.5" thickBot="1">
      <c r="A5" s="206"/>
      <c r="B5" s="208"/>
      <c r="C5" s="210"/>
      <c r="D5" s="208"/>
      <c r="E5" s="208"/>
      <c r="F5" s="208"/>
      <c r="G5" s="208"/>
      <c r="H5" s="208"/>
      <c r="I5" s="85" t="s">
        <v>1</v>
      </c>
      <c r="J5" s="85" t="s">
        <v>2</v>
      </c>
      <c r="K5" s="85" t="s">
        <v>3</v>
      </c>
      <c r="L5" s="85" t="s">
        <v>4</v>
      </c>
      <c r="M5" s="86" t="s">
        <v>6</v>
      </c>
      <c r="N5" s="85" t="s">
        <v>7</v>
      </c>
      <c r="O5" s="85" t="s">
        <v>8</v>
      </c>
      <c r="P5" s="85" t="s">
        <v>9</v>
      </c>
      <c r="Q5" s="20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1:30" s="8" customFormat="1" ht="33.75">
      <c r="A6" s="182" t="s">
        <v>80</v>
      </c>
      <c r="B6" s="39">
        <v>268</v>
      </c>
      <c r="C6" s="43" t="s">
        <v>117</v>
      </c>
      <c r="D6" s="44">
        <v>200</v>
      </c>
      <c r="E6" s="45">
        <f>[16]Лист1!$J$35</f>
        <v>17.225000000000001</v>
      </c>
      <c r="F6" s="45">
        <f>[16]Лист1!$J$36</f>
        <v>27.6875</v>
      </c>
      <c r="G6" s="45">
        <f>[16]Лист1!$J$37</f>
        <v>4.3125</v>
      </c>
      <c r="H6" s="46">
        <f>[16]Лист1!$J$38</f>
        <v>335.375</v>
      </c>
      <c r="I6" s="47">
        <f>[16]Лист1!$M$40</f>
        <v>8.7500000000000008E-2</v>
      </c>
      <c r="J6" s="47">
        <f>[16]Лист1!$M$39</f>
        <v>0.61250000000000004</v>
      </c>
      <c r="K6" s="47">
        <f>[16]Лист1!$M$41</f>
        <v>347.38750000000005</v>
      </c>
      <c r="L6" s="47">
        <f>[16]Лист1!$M$42</f>
        <v>0.92500000000000004</v>
      </c>
      <c r="M6" s="47">
        <f>[16]Лист1!$M$35</f>
        <v>158.15</v>
      </c>
      <c r="N6" s="47">
        <f>[16]Лист1!$M$36</f>
        <v>299.38749999999999</v>
      </c>
      <c r="O6" s="47">
        <f>[16]Лист1!$M$37</f>
        <v>24.925000000000004</v>
      </c>
      <c r="P6" s="47">
        <f>[16]Лист1!$M$38</f>
        <v>3.2250000000000001</v>
      </c>
      <c r="Q6" s="197" t="s">
        <v>135</v>
      </c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</row>
    <row r="7" spans="1:30">
      <c r="A7" s="182"/>
      <c r="B7" s="38">
        <v>114</v>
      </c>
      <c r="C7" s="32" t="s">
        <v>13</v>
      </c>
      <c r="D7" s="33">
        <v>40</v>
      </c>
      <c r="E7" s="34">
        <v>3.16</v>
      </c>
      <c r="F7" s="34">
        <v>0.4</v>
      </c>
      <c r="G7" s="34">
        <v>19.32</v>
      </c>
      <c r="H7" s="34">
        <v>94</v>
      </c>
      <c r="I7" s="30">
        <v>0.08</v>
      </c>
      <c r="J7" s="30">
        <v>0</v>
      </c>
      <c r="K7" s="30">
        <v>0.56799999999999995</v>
      </c>
      <c r="L7" s="30">
        <v>0.30399999999999999</v>
      </c>
      <c r="M7" s="30">
        <v>9.1999999999999993</v>
      </c>
      <c r="N7" s="30">
        <v>30</v>
      </c>
      <c r="O7" s="30">
        <v>13.2</v>
      </c>
      <c r="P7" s="30">
        <v>0.76</v>
      </c>
      <c r="Q7" s="186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1:30">
      <c r="A8" s="55"/>
      <c r="B8" s="38">
        <v>457</v>
      </c>
      <c r="C8" s="32" t="s">
        <v>78</v>
      </c>
      <c r="D8" s="33">
        <v>180</v>
      </c>
      <c r="E8" s="34">
        <f>[17]Лист1!$J$11</f>
        <v>0.18</v>
      </c>
      <c r="F8" s="34">
        <f>[17]Лист1!$J$12</f>
        <v>0.09</v>
      </c>
      <c r="G8" s="34">
        <f>[17]Лист1!$J$13</f>
        <v>8.370000000000001</v>
      </c>
      <c r="H8" s="35">
        <f>[17]Лист1!$J$14</f>
        <v>34.200000000000003</v>
      </c>
      <c r="I8" s="30">
        <f>[17]Лист1!$M$16</f>
        <v>2.6999999999999996E-2</v>
      </c>
      <c r="J8" s="30">
        <f>[17]Лист1!$M$15</f>
        <v>0.62999999999999989</v>
      </c>
      <c r="K8" s="30">
        <f>[17]Лист1!$M$17</f>
        <v>17.100000000000001</v>
      </c>
      <c r="L8" s="30">
        <f>[18]Лист1!$M$30</f>
        <v>0</v>
      </c>
      <c r="M8" s="30">
        <f>[17]Лист1!$M$11</f>
        <v>97.47</v>
      </c>
      <c r="N8" s="30">
        <f>[17]Лист1!$M$12</f>
        <v>68.849999999999994</v>
      </c>
      <c r="O8" s="30">
        <f>[17]Лист1!$M$13</f>
        <v>11.34</v>
      </c>
      <c r="P8" s="30">
        <f>[17]Лист1!$M$14</f>
        <v>0.10799999999999998</v>
      </c>
      <c r="Q8" s="186" t="s">
        <v>86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 ht="22.5">
      <c r="A9" s="182"/>
      <c r="B9" s="39" t="s">
        <v>164</v>
      </c>
      <c r="C9" s="40" t="s">
        <v>118</v>
      </c>
      <c r="D9" s="41">
        <v>200</v>
      </c>
      <c r="E9" s="42">
        <f>'[19]молоко кипяченое'!$E$12</f>
        <v>6</v>
      </c>
      <c r="F9" s="42">
        <f>'[19]молоко кипяченое'!$F$12</f>
        <v>7</v>
      </c>
      <c r="G9" s="42">
        <f>'[19]молоко кипяченое'!$G$12</f>
        <v>9.4</v>
      </c>
      <c r="H9" s="42">
        <f>'[19]молоко кипяченое'!$H$12</f>
        <v>126</v>
      </c>
      <c r="I9" s="31">
        <f>'[19]молоко кипяченое'!$D$16</f>
        <v>0.04</v>
      </c>
      <c r="J9" s="31">
        <f>'[19]молоко кипяченое'!$I$12</f>
        <v>1.2</v>
      </c>
      <c r="K9" s="31">
        <f>'[19]молоко кипяченое'!$E$16</f>
        <v>40</v>
      </c>
      <c r="L9" s="31">
        <f>'[19]молоко кипяченое'!$F$16</f>
        <v>0</v>
      </c>
      <c r="M9" s="31">
        <f>'[19]молоко кипяченое'!$G$16</f>
        <v>242</v>
      </c>
      <c r="N9" s="31">
        <v>0</v>
      </c>
      <c r="O9" s="31">
        <f>'[19]молоко кипяченое'!$H$16</f>
        <v>28</v>
      </c>
      <c r="P9" s="31">
        <f>'[19]молоко кипяченое'!$I$16</f>
        <v>0.2</v>
      </c>
      <c r="Q9" s="255" t="s">
        <v>88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1:30">
      <c r="A10" s="182"/>
      <c r="B10" s="39"/>
      <c r="C10" s="40"/>
      <c r="D10" s="41"/>
      <c r="E10" s="42"/>
      <c r="F10" s="42"/>
      <c r="G10" s="42"/>
      <c r="H10" s="42"/>
      <c r="I10" s="31"/>
      <c r="J10" s="31"/>
      <c r="K10" s="31"/>
      <c r="L10" s="31"/>
      <c r="M10" s="31"/>
      <c r="N10" s="31"/>
      <c r="O10" s="31"/>
      <c r="P10" s="31"/>
      <c r="Q10" s="186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ht="13.5" thickBot="1">
      <c r="A11" s="183"/>
      <c r="B11" s="39"/>
      <c r="C11" s="40"/>
      <c r="D11" s="41"/>
      <c r="E11" s="42"/>
      <c r="F11" s="42"/>
      <c r="G11" s="42"/>
      <c r="H11" s="42"/>
      <c r="I11" s="31"/>
      <c r="J11" s="31"/>
      <c r="K11" s="31"/>
      <c r="L11" s="31"/>
      <c r="M11" s="31"/>
      <c r="N11" s="31"/>
      <c r="O11" s="31"/>
      <c r="P11" s="31"/>
      <c r="Q11" s="186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0" ht="13.5" thickBot="1">
      <c r="A12" s="56" t="s">
        <v>143</v>
      </c>
      <c r="B12" s="57"/>
      <c r="C12" s="58"/>
      <c r="D12" s="59">
        <f>SUM(D6:D11)</f>
        <v>620</v>
      </c>
      <c r="E12" s="60">
        <f>E6+E7+E8+E9+E10+E11</f>
        <v>26.565000000000001</v>
      </c>
      <c r="F12" s="60">
        <f t="shared" ref="F12:P12" si="0">F6+F7+F8+F9+F10+F11</f>
        <v>35.177499999999995</v>
      </c>
      <c r="G12" s="60">
        <f t="shared" si="0"/>
        <v>41.402499999999996</v>
      </c>
      <c r="H12" s="60">
        <f t="shared" si="0"/>
        <v>589.57500000000005</v>
      </c>
      <c r="I12" s="60">
        <f t="shared" si="0"/>
        <v>0.23450000000000001</v>
      </c>
      <c r="J12" s="60">
        <f t="shared" si="0"/>
        <v>2.4424999999999999</v>
      </c>
      <c r="K12" s="60">
        <f t="shared" si="0"/>
        <v>405.05550000000005</v>
      </c>
      <c r="L12" s="60">
        <f t="shared" si="0"/>
        <v>1.2290000000000001</v>
      </c>
      <c r="M12" s="60">
        <f t="shared" si="0"/>
        <v>506.82</v>
      </c>
      <c r="N12" s="60">
        <f t="shared" si="0"/>
        <v>398.23749999999995</v>
      </c>
      <c r="O12" s="60">
        <f t="shared" si="0"/>
        <v>77.465000000000003</v>
      </c>
      <c r="P12" s="60">
        <f t="shared" si="0"/>
        <v>4.2930000000000001</v>
      </c>
      <c r="Q12" s="77" t="s">
        <v>84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30" s="194" customFormat="1" ht="12" thickBot="1">
      <c r="A13" s="187"/>
      <c r="B13" s="188"/>
      <c r="C13" s="189" t="s">
        <v>115</v>
      </c>
      <c r="D13" s="190"/>
      <c r="E13" s="191">
        <v>90</v>
      </c>
      <c r="F13" s="191">
        <v>92</v>
      </c>
      <c r="G13" s="191">
        <v>383</v>
      </c>
      <c r="H13" s="191">
        <v>2720</v>
      </c>
      <c r="I13" s="192"/>
      <c r="J13" s="192"/>
      <c r="K13" s="192"/>
      <c r="L13" s="192"/>
      <c r="M13" s="192"/>
      <c r="N13" s="192"/>
      <c r="O13" s="192"/>
      <c r="P13" s="192"/>
      <c r="Q13" s="78" t="s">
        <v>85</v>
      </c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</row>
    <row r="14" spans="1:30" ht="13.5" thickBot="1">
      <c r="A14" s="56"/>
      <c r="B14" s="57"/>
      <c r="C14" s="67" t="s">
        <v>116</v>
      </c>
      <c r="D14" s="59"/>
      <c r="E14" s="68">
        <f>E12*100/E13</f>
        <v>29.516666666666666</v>
      </c>
      <c r="F14" s="68">
        <f>F12*100/F13</f>
        <v>38.236413043478258</v>
      </c>
      <c r="G14" s="68">
        <f>G12*100/G13</f>
        <v>10.810052219321149</v>
      </c>
      <c r="H14" s="68">
        <f>H12*100/H13</f>
        <v>21.675551470588239</v>
      </c>
      <c r="I14" s="60"/>
      <c r="J14" s="60"/>
      <c r="K14" s="60"/>
      <c r="L14" s="60"/>
      <c r="M14" s="60"/>
      <c r="N14" s="60"/>
      <c r="O14" s="60"/>
      <c r="P14" s="60"/>
      <c r="Q14" s="79" t="s">
        <v>92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30">
      <c r="A15" s="9"/>
    </row>
  </sheetData>
  <mergeCells count="12">
    <mergeCell ref="A1:Q1"/>
    <mergeCell ref="Q4:Q5"/>
    <mergeCell ref="A4:A5"/>
    <mergeCell ref="B4:B5"/>
    <mergeCell ref="F4:F5"/>
    <mergeCell ref="C4:C5"/>
    <mergeCell ref="D4:D5"/>
    <mergeCell ref="E4:E5"/>
    <mergeCell ref="G4:G5"/>
    <mergeCell ref="H4:H5"/>
    <mergeCell ref="I4:L4"/>
    <mergeCell ref="M4:P4"/>
  </mergeCells>
  <phoneticPr fontId="3" type="noConversion"/>
  <pageMargins left="0.75" right="0.75" top="1" bottom="1" header="0.5" footer="0.5"/>
  <pageSetup paperSize="9"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4"/>
  <sheetViews>
    <sheetView workbookViewId="0">
      <selection sqref="A1:Q14"/>
    </sheetView>
  </sheetViews>
  <sheetFormatPr defaultRowHeight="12.75"/>
  <cols>
    <col min="1" max="1" width="6.28515625" customWidth="1"/>
    <col min="2" max="2" width="4" bestFit="1" customWidth="1"/>
    <col min="3" max="3" width="34.5703125" customWidth="1"/>
    <col min="4" max="4" width="4" bestFit="1" customWidth="1"/>
    <col min="5" max="7" width="5.42578125" bestFit="1" customWidth="1"/>
    <col min="8" max="8" width="6.42578125" bestFit="1" customWidth="1"/>
    <col min="9" max="9" width="4.42578125" bestFit="1" customWidth="1"/>
    <col min="10" max="11" width="5.42578125" bestFit="1" customWidth="1"/>
    <col min="12" max="12" width="4.42578125" bestFit="1" customWidth="1"/>
    <col min="13" max="15" width="6.42578125" bestFit="1" customWidth="1"/>
    <col min="16" max="16" width="4.42578125" bestFit="1" customWidth="1"/>
    <col min="17" max="17" width="46.5703125" bestFit="1" customWidth="1"/>
  </cols>
  <sheetData>
    <row r="1" spans="1:30" s="10" customFormat="1">
      <c r="A1" s="202" t="s">
        <v>130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</row>
    <row r="2" spans="1:30" s="9" customFormat="1">
      <c r="A2" s="9" t="s">
        <v>71</v>
      </c>
      <c r="B2" s="10"/>
    </row>
    <row r="3" spans="1:30" s="9" customFormat="1" ht="13.5" thickBot="1"/>
    <row r="4" spans="1:30" s="8" customFormat="1" ht="12.75" customHeight="1">
      <c r="A4" s="205" t="s">
        <v>105</v>
      </c>
      <c r="B4" s="207" t="s">
        <v>106</v>
      </c>
      <c r="C4" s="209" t="s">
        <v>107</v>
      </c>
      <c r="D4" s="207" t="s">
        <v>108</v>
      </c>
      <c r="E4" s="207" t="s">
        <v>110</v>
      </c>
      <c r="F4" s="207" t="s">
        <v>111</v>
      </c>
      <c r="G4" s="207" t="s">
        <v>112</v>
      </c>
      <c r="H4" s="207" t="s">
        <v>109</v>
      </c>
      <c r="I4" s="211" t="s">
        <v>0</v>
      </c>
      <c r="J4" s="212"/>
      <c r="K4" s="212"/>
      <c r="L4" s="213"/>
      <c r="M4" s="211" t="s">
        <v>5</v>
      </c>
      <c r="N4" s="212"/>
      <c r="O4" s="212"/>
      <c r="P4" s="213"/>
      <c r="Q4" s="203" t="s">
        <v>83</v>
      </c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1:30" s="8" customFormat="1" ht="13.5" thickBot="1">
      <c r="A5" s="206"/>
      <c r="B5" s="208"/>
      <c r="C5" s="210"/>
      <c r="D5" s="208"/>
      <c r="E5" s="208"/>
      <c r="F5" s="208"/>
      <c r="G5" s="208"/>
      <c r="H5" s="208"/>
      <c r="I5" s="85" t="s">
        <v>1</v>
      </c>
      <c r="J5" s="85" t="s">
        <v>2</v>
      </c>
      <c r="K5" s="85" t="s">
        <v>3</v>
      </c>
      <c r="L5" s="85" t="s">
        <v>4</v>
      </c>
      <c r="M5" s="86" t="s">
        <v>6</v>
      </c>
      <c r="N5" s="85" t="s">
        <v>7</v>
      </c>
      <c r="O5" s="85" t="s">
        <v>8</v>
      </c>
      <c r="P5" s="85" t="s">
        <v>9</v>
      </c>
      <c r="Q5" s="20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1:30" s="8" customFormat="1">
      <c r="A6" s="84" t="s">
        <v>80</v>
      </c>
      <c r="B6" s="119">
        <v>321</v>
      </c>
      <c r="C6" s="48" t="s">
        <v>181</v>
      </c>
      <c r="D6" s="120">
        <v>110</v>
      </c>
      <c r="E6" s="126">
        <f>[20]Лист1!$J$26</f>
        <v>13.2</v>
      </c>
      <c r="F6" s="126">
        <f>[20]Лист1!$J$27</f>
        <v>15.583333333333334</v>
      </c>
      <c r="G6" s="126">
        <f>[20]Лист1!$J$28</f>
        <v>2.2000000000000002</v>
      </c>
      <c r="H6" s="127">
        <f>[20]Лист1!$J$29</f>
        <v>200.2</v>
      </c>
      <c r="I6" s="128">
        <f>[20]Лист1!$M$31</f>
        <v>3.2999999999999995E-2</v>
      </c>
      <c r="J6" s="128">
        <f>[20]Лист1!$M$30</f>
        <v>0.33</v>
      </c>
      <c r="K6" s="128">
        <f>[20]Лист1!$M$32</f>
        <v>0</v>
      </c>
      <c r="L6" s="128">
        <f>[20]Лист1!$M$33</f>
        <v>2.75</v>
      </c>
      <c r="M6" s="128">
        <f>[20]Лист1!$M$26</f>
        <v>110</v>
      </c>
      <c r="N6" s="128">
        <f>[20]Лист1!$M$27</f>
        <v>134.19999999999999</v>
      </c>
      <c r="O6" s="128">
        <f>[20]Лист1!$M$28</f>
        <v>19.8</v>
      </c>
      <c r="P6" s="128">
        <f>[20]Лист1!$M$29</f>
        <v>2.0570000000000004</v>
      </c>
      <c r="Q6" s="196" t="s">
        <v>168</v>
      </c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</row>
    <row r="7" spans="1:30" ht="22.5">
      <c r="A7" s="55"/>
      <c r="B7" s="38">
        <v>377</v>
      </c>
      <c r="C7" s="32" t="s">
        <v>174</v>
      </c>
      <c r="D7" s="33">
        <v>200</v>
      </c>
      <c r="E7" s="34">
        <f>[21]Лист1!$J$35</f>
        <v>4.2</v>
      </c>
      <c r="F7" s="34">
        <f>[21]Лист1!$J$36</f>
        <v>8</v>
      </c>
      <c r="G7" s="34">
        <f>[21]Лист1!$J$37</f>
        <v>12.2</v>
      </c>
      <c r="H7" s="34">
        <f>[21]Лист1!$J$38</f>
        <v>136</v>
      </c>
      <c r="I7" s="30">
        <f>[21]Лист1!$M$40</f>
        <v>0.16</v>
      </c>
      <c r="J7" s="30">
        <f>[21]Лист1!$M$39</f>
        <v>5</v>
      </c>
      <c r="K7" s="30">
        <f>[21]Лист1!$M$41</f>
        <v>39.799999999999997</v>
      </c>
      <c r="L7" s="30">
        <f>[21]Лист1!$M$42</f>
        <v>0.2</v>
      </c>
      <c r="M7" s="30">
        <f>[21]Лист1!$M$35</f>
        <v>51</v>
      </c>
      <c r="N7" s="30">
        <f>[21]Лист1!$M$36</f>
        <v>103</v>
      </c>
      <c r="O7" s="30">
        <f>[21]Лист1!$M$37</f>
        <v>32.799999999999997</v>
      </c>
      <c r="P7" s="30">
        <f>[21]Лист1!$M$38</f>
        <v>1.1599999999999999</v>
      </c>
      <c r="Q7" s="255" t="s">
        <v>176</v>
      </c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1:30">
      <c r="A8" s="55"/>
      <c r="B8" s="38">
        <v>114</v>
      </c>
      <c r="C8" s="32" t="s">
        <v>13</v>
      </c>
      <c r="D8" s="33">
        <v>40</v>
      </c>
      <c r="E8" s="34">
        <v>3.16</v>
      </c>
      <c r="F8" s="34">
        <v>0.4</v>
      </c>
      <c r="G8" s="34">
        <v>19.32</v>
      </c>
      <c r="H8" s="34">
        <v>94</v>
      </c>
      <c r="I8" s="30">
        <v>0.08</v>
      </c>
      <c r="J8" s="30">
        <v>0</v>
      </c>
      <c r="K8" s="30">
        <v>0.56799999999999995</v>
      </c>
      <c r="L8" s="30">
        <v>0.30399999999999999</v>
      </c>
      <c r="M8" s="30">
        <v>9.1999999999999993</v>
      </c>
      <c r="N8" s="30">
        <v>30</v>
      </c>
      <c r="O8" s="30">
        <v>13.2</v>
      </c>
      <c r="P8" s="30">
        <v>0.76</v>
      </c>
      <c r="Q8" s="186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>
      <c r="A9" s="55"/>
      <c r="B9" s="38">
        <v>463</v>
      </c>
      <c r="C9" s="32" t="s">
        <v>162</v>
      </c>
      <c r="D9" s="33">
        <v>200</v>
      </c>
      <c r="E9" s="34">
        <f>[11]Лист1!$J$23</f>
        <v>3.2</v>
      </c>
      <c r="F9" s="34">
        <f>[11]Лист1!$J$24</f>
        <v>3.6</v>
      </c>
      <c r="G9" s="34">
        <f>[11]Лист1!$J$25</f>
        <v>19.2</v>
      </c>
      <c r="H9" s="35">
        <f>[11]Лист1!$J$26</f>
        <v>122</v>
      </c>
      <c r="I9" s="30">
        <f>[11]Лист1!$M$28</f>
        <v>0.02</v>
      </c>
      <c r="J9" s="30">
        <f>[11]Лист1!$M$27</f>
        <v>0.2</v>
      </c>
      <c r="K9" s="30">
        <f>[11]Лист1!$M$29</f>
        <v>15.2</v>
      </c>
      <c r="L9" s="30">
        <f>[11]Лист1!$M$30</f>
        <v>0.08</v>
      </c>
      <c r="M9" s="30">
        <f>[11]Лист1!$M$23</f>
        <v>108</v>
      </c>
      <c r="N9" s="30">
        <f>[11]Лист1!$M$24</f>
        <v>85.4</v>
      </c>
      <c r="O9" s="30">
        <f>[11]Лист1!$M$25</f>
        <v>21.3</v>
      </c>
      <c r="P9" s="30">
        <f>[11]Лист1!$M$26</f>
        <v>0.57999999999999996</v>
      </c>
      <c r="Q9" s="186" t="s">
        <v>163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1:30">
      <c r="A10" s="55"/>
      <c r="B10" s="38"/>
      <c r="C10" s="32"/>
      <c r="D10" s="33"/>
      <c r="E10" s="34"/>
      <c r="F10" s="34"/>
      <c r="G10" s="34"/>
      <c r="H10" s="34"/>
      <c r="I10" s="30"/>
      <c r="J10" s="30"/>
      <c r="K10" s="30"/>
      <c r="L10" s="30"/>
      <c r="M10" s="30"/>
      <c r="N10" s="30"/>
      <c r="O10" s="30"/>
      <c r="P10" s="30"/>
      <c r="Q10" s="186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ht="13.5" thickBot="1">
      <c r="A11" s="70"/>
      <c r="B11" s="38"/>
      <c r="C11" s="32"/>
      <c r="D11" s="33"/>
      <c r="E11" s="34"/>
      <c r="F11" s="34"/>
      <c r="G11" s="35"/>
      <c r="H11" s="34"/>
      <c r="I11" s="30"/>
      <c r="J11" s="30"/>
      <c r="K11" s="30"/>
      <c r="L11" s="30"/>
      <c r="M11" s="30"/>
      <c r="N11" s="30"/>
      <c r="O11" s="30"/>
      <c r="P11" s="30"/>
      <c r="Q11" s="36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0" ht="13.5" thickBot="1">
      <c r="A12" s="56" t="s">
        <v>143</v>
      </c>
      <c r="B12" s="57"/>
      <c r="C12" s="58"/>
      <c r="D12" s="59">
        <f>D6+D7+D8+D9+D10+D11</f>
        <v>550</v>
      </c>
      <c r="E12" s="60">
        <f>E6+E7+E8+E9+E10+E11</f>
        <v>23.759999999999998</v>
      </c>
      <c r="F12" s="60">
        <f t="shared" ref="F12:P12" si="0">F6+F7+F8+F9+F10+F11</f>
        <v>27.583333333333336</v>
      </c>
      <c r="G12" s="60">
        <f t="shared" si="0"/>
        <v>52.92</v>
      </c>
      <c r="H12" s="60">
        <f t="shared" si="0"/>
        <v>552.20000000000005</v>
      </c>
      <c r="I12" s="60">
        <f t="shared" si="0"/>
        <v>0.29300000000000004</v>
      </c>
      <c r="J12" s="60">
        <f t="shared" si="0"/>
        <v>5.53</v>
      </c>
      <c r="K12" s="60">
        <f t="shared" si="0"/>
        <v>55.567999999999998</v>
      </c>
      <c r="L12" s="60">
        <f t="shared" si="0"/>
        <v>3.3340000000000001</v>
      </c>
      <c r="M12" s="60">
        <f t="shared" si="0"/>
        <v>278.2</v>
      </c>
      <c r="N12" s="60">
        <f t="shared" si="0"/>
        <v>352.6</v>
      </c>
      <c r="O12" s="60">
        <f t="shared" si="0"/>
        <v>87.1</v>
      </c>
      <c r="P12" s="60">
        <f t="shared" si="0"/>
        <v>4.5570000000000004</v>
      </c>
      <c r="Q12" s="77" t="s">
        <v>84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30" s="194" customFormat="1" ht="12" thickBot="1">
      <c r="A13" s="187"/>
      <c r="B13" s="188"/>
      <c r="C13" s="189" t="s">
        <v>115</v>
      </c>
      <c r="D13" s="190"/>
      <c r="E13" s="191">
        <v>90</v>
      </c>
      <c r="F13" s="191">
        <v>92</v>
      </c>
      <c r="G13" s="191">
        <v>383</v>
      </c>
      <c r="H13" s="191">
        <v>2720</v>
      </c>
      <c r="I13" s="192"/>
      <c r="J13" s="192"/>
      <c r="K13" s="192"/>
      <c r="L13" s="192"/>
      <c r="M13" s="192"/>
      <c r="N13" s="192"/>
      <c r="O13" s="192"/>
      <c r="P13" s="192"/>
      <c r="Q13" s="78" t="s">
        <v>85</v>
      </c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</row>
    <row r="14" spans="1:30" ht="13.5" thickBot="1">
      <c r="A14" s="56"/>
      <c r="B14" s="57"/>
      <c r="C14" s="67" t="s">
        <v>116</v>
      </c>
      <c r="D14" s="59"/>
      <c r="E14" s="68">
        <f>E12*100/E13</f>
        <v>26.4</v>
      </c>
      <c r="F14" s="68">
        <f>F12*100/F13</f>
        <v>29.981884057971016</v>
      </c>
      <c r="G14" s="68">
        <f>G12*100/G13</f>
        <v>13.817232375979112</v>
      </c>
      <c r="H14" s="68">
        <f>H12*100/H13</f>
        <v>20.301470588235297</v>
      </c>
      <c r="I14" s="60"/>
      <c r="J14" s="60"/>
      <c r="K14" s="60"/>
      <c r="L14" s="60"/>
      <c r="M14" s="60"/>
      <c r="N14" s="60"/>
      <c r="O14" s="60"/>
      <c r="P14" s="60"/>
      <c r="Q14" s="79" t="s">
        <v>92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</sheetData>
  <mergeCells count="12">
    <mergeCell ref="M4:P4"/>
    <mergeCell ref="A1:Q1"/>
    <mergeCell ref="Q4:Q5"/>
    <mergeCell ref="A4:A5"/>
    <mergeCell ref="B4:B5"/>
    <mergeCell ref="F4:F5"/>
    <mergeCell ref="C4:C5"/>
    <mergeCell ref="D4:D5"/>
    <mergeCell ref="E4:E5"/>
    <mergeCell ref="G4:G5"/>
    <mergeCell ref="H4:H5"/>
    <mergeCell ref="I4:L4"/>
  </mergeCells>
  <phoneticPr fontId="3" type="noConversion"/>
  <pageMargins left="0.75" right="0.75" top="1" bottom="1" header="0.5" footer="0.5"/>
  <pageSetup paperSize="9" scale="82" orientation="landscape" r:id="rId1"/>
  <headerFooter alignWithMargins="0"/>
  <ignoredErrors>
    <ignoredError sqref="E13:H14 E12:H12 D12 I12:P1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5"/>
  <sheetViews>
    <sheetView workbookViewId="0">
      <selection sqref="A1:Q14"/>
    </sheetView>
  </sheetViews>
  <sheetFormatPr defaultRowHeight="12.75"/>
  <cols>
    <col min="1" max="1" width="6.28515625" customWidth="1"/>
    <col min="2" max="2" width="4" bestFit="1" customWidth="1"/>
    <col min="3" max="3" width="36" customWidth="1"/>
    <col min="4" max="4" width="4" bestFit="1" customWidth="1"/>
    <col min="5" max="7" width="5.42578125" bestFit="1" customWidth="1"/>
    <col min="8" max="8" width="6.42578125" bestFit="1" customWidth="1"/>
    <col min="9" max="10" width="4.42578125" bestFit="1" customWidth="1"/>
    <col min="11" max="11" width="6.42578125" bestFit="1" customWidth="1"/>
    <col min="12" max="12" width="4.42578125" bestFit="1" customWidth="1"/>
    <col min="13" max="14" width="6.42578125" bestFit="1" customWidth="1"/>
    <col min="15" max="15" width="5.42578125" bestFit="1" customWidth="1"/>
    <col min="16" max="16" width="4.42578125" bestFit="1" customWidth="1"/>
    <col min="17" max="17" width="36.7109375" bestFit="1" customWidth="1"/>
  </cols>
  <sheetData>
    <row r="1" spans="1:30" s="10" customFormat="1">
      <c r="A1" s="202" t="s">
        <v>129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</row>
    <row r="2" spans="1:30" s="9" customFormat="1">
      <c r="A2" s="9" t="s">
        <v>70</v>
      </c>
      <c r="B2" s="10"/>
    </row>
    <row r="3" spans="1:30" s="9" customFormat="1" ht="13.5" thickBot="1"/>
    <row r="4" spans="1:30" s="8" customFormat="1" ht="12.75" customHeight="1">
      <c r="A4" s="205" t="s">
        <v>105</v>
      </c>
      <c r="B4" s="207" t="s">
        <v>106</v>
      </c>
      <c r="C4" s="209" t="s">
        <v>107</v>
      </c>
      <c r="D4" s="207" t="s">
        <v>108</v>
      </c>
      <c r="E4" s="207" t="s">
        <v>110</v>
      </c>
      <c r="F4" s="207" t="s">
        <v>111</v>
      </c>
      <c r="G4" s="207" t="s">
        <v>112</v>
      </c>
      <c r="H4" s="207" t="s">
        <v>109</v>
      </c>
      <c r="I4" s="211" t="s">
        <v>0</v>
      </c>
      <c r="J4" s="212"/>
      <c r="K4" s="212"/>
      <c r="L4" s="213"/>
      <c r="M4" s="211" t="s">
        <v>5</v>
      </c>
      <c r="N4" s="212"/>
      <c r="O4" s="212"/>
      <c r="P4" s="213"/>
      <c r="Q4" s="203" t="s">
        <v>83</v>
      </c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1:30" s="8" customFormat="1" ht="13.5" thickBot="1">
      <c r="A5" s="206"/>
      <c r="B5" s="208"/>
      <c r="C5" s="210"/>
      <c r="D5" s="208"/>
      <c r="E5" s="208"/>
      <c r="F5" s="208"/>
      <c r="G5" s="208"/>
      <c r="H5" s="208"/>
      <c r="I5" s="85" t="s">
        <v>1</v>
      </c>
      <c r="J5" s="85" t="s">
        <v>2</v>
      </c>
      <c r="K5" s="85" t="s">
        <v>3</v>
      </c>
      <c r="L5" s="85" t="s">
        <v>4</v>
      </c>
      <c r="M5" s="86" t="s">
        <v>6</v>
      </c>
      <c r="N5" s="85" t="s">
        <v>7</v>
      </c>
      <c r="O5" s="85" t="s">
        <v>8</v>
      </c>
      <c r="P5" s="85" t="s">
        <v>9</v>
      </c>
      <c r="Q5" s="20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1:30">
      <c r="A6" s="100" t="s">
        <v>80</v>
      </c>
      <c r="B6" s="38">
        <v>259</v>
      </c>
      <c r="C6" s="32" t="s">
        <v>119</v>
      </c>
      <c r="D6" s="33">
        <v>200</v>
      </c>
      <c r="E6" s="34">
        <f>[22]Лист1!$J$35</f>
        <v>12.3</v>
      </c>
      <c r="F6" s="34">
        <f>[22]Лист1!$J$36</f>
        <v>10</v>
      </c>
      <c r="G6" s="34">
        <f>[22]Лист1!$J$37</f>
        <v>35.9</v>
      </c>
      <c r="H6" s="34">
        <f>[22]Лист1!$J$38</f>
        <v>283</v>
      </c>
      <c r="I6" s="30">
        <f>[22]Лист1!$M$40</f>
        <v>7.0000000000000007E-2</v>
      </c>
      <c r="J6" s="30">
        <f>[22]Лист1!$M$39</f>
        <v>0.2</v>
      </c>
      <c r="K6" s="30">
        <f>[22]Лист1!$M$41</f>
        <v>73.900000000000006</v>
      </c>
      <c r="L6" s="30">
        <f>[22]Лист1!$M$42</f>
        <v>1.1000000000000001</v>
      </c>
      <c r="M6" s="30">
        <f>[22]Лист1!$M$35</f>
        <v>227.5</v>
      </c>
      <c r="N6" s="30">
        <f>[22]Лист1!$M$36</f>
        <v>181.1</v>
      </c>
      <c r="O6" s="30">
        <f>[22]Лист1!$M$37</f>
        <v>22.4</v>
      </c>
      <c r="P6" s="30">
        <f>[22]Лист1!$M$38</f>
        <v>1.448</v>
      </c>
      <c r="Q6" s="186" t="s">
        <v>120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>
      <c r="A7" s="55"/>
      <c r="B7" s="38">
        <v>114</v>
      </c>
      <c r="C7" s="32" t="s">
        <v>13</v>
      </c>
      <c r="D7" s="33">
        <v>40</v>
      </c>
      <c r="E7" s="34">
        <v>3.16</v>
      </c>
      <c r="F7" s="34">
        <v>0.4</v>
      </c>
      <c r="G7" s="34">
        <v>19.32</v>
      </c>
      <c r="H7" s="34">
        <v>94</v>
      </c>
      <c r="I7" s="30">
        <v>0.08</v>
      </c>
      <c r="J7" s="30">
        <v>0</v>
      </c>
      <c r="K7" s="30">
        <v>0.56799999999999995</v>
      </c>
      <c r="L7" s="30">
        <v>0.30399999999999999</v>
      </c>
      <c r="M7" s="30">
        <v>9.1999999999999993</v>
      </c>
      <c r="N7" s="30">
        <v>30</v>
      </c>
      <c r="O7" s="30">
        <v>13.2</v>
      </c>
      <c r="P7" s="30">
        <v>0.76</v>
      </c>
      <c r="Q7" s="186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1:30">
      <c r="A8" s="81"/>
      <c r="B8" s="38">
        <v>466</v>
      </c>
      <c r="C8" s="32" t="s">
        <v>160</v>
      </c>
      <c r="D8" s="33">
        <v>200</v>
      </c>
      <c r="E8" s="34">
        <f>[3]Лист1!$J$23</f>
        <v>2.6</v>
      </c>
      <c r="F8" s="34">
        <f>[3]Лист1!$J$24</f>
        <v>3.2</v>
      </c>
      <c r="G8" s="34">
        <f>[3]Лист1!$J$25</f>
        <v>19</v>
      </c>
      <c r="H8" s="35">
        <f>[3]Лист1!$J$26</f>
        <v>115</v>
      </c>
      <c r="I8" s="30">
        <f>[3]Лист1!$M$28</f>
        <v>0.02</v>
      </c>
      <c r="J8" s="30">
        <f>[3]Лист1!$M$27</f>
        <v>0.2</v>
      </c>
      <c r="K8" s="30">
        <f>[3]Лист1!$M$29</f>
        <v>15.2</v>
      </c>
      <c r="L8" s="30">
        <f>[3]Лист1!$M$30</f>
        <v>0.08</v>
      </c>
      <c r="M8" s="30">
        <f>[3]Лист1!$M$23</f>
        <v>105</v>
      </c>
      <c r="N8" s="30">
        <f>[3]Лист1!$M$24</f>
        <v>70.7</v>
      </c>
      <c r="O8" s="30">
        <f>[3]Лист1!$M$25</f>
        <v>11.6</v>
      </c>
      <c r="P8" s="30">
        <f>[3]Лист1!$M$26</f>
        <v>7.0000000000000007E-2</v>
      </c>
      <c r="Q8" s="186" t="s">
        <v>161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 ht="22.5">
      <c r="A9" s="55"/>
      <c r="B9" s="38">
        <v>470</v>
      </c>
      <c r="C9" s="32" t="s">
        <v>136</v>
      </c>
      <c r="D9" s="33">
        <v>110</v>
      </c>
      <c r="E9" s="34">
        <f>[23]Лист1!$J$11</f>
        <v>3.19</v>
      </c>
      <c r="F9" s="34">
        <f>[23]Лист1!$J$12</f>
        <v>2.75</v>
      </c>
      <c r="G9" s="34">
        <f>[23]Лист1!$J$13</f>
        <v>4.4000000000000004</v>
      </c>
      <c r="H9" s="34">
        <f>[23]Лист1!$J$14</f>
        <v>55.55</v>
      </c>
      <c r="I9" s="30">
        <f>[23]Лист1!$M$16</f>
        <v>4.4000000000000004E-2</v>
      </c>
      <c r="J9" s="30">
        <f>[23]Лист1!$M$15</f>
        <v>0.77</v>
      </c>
      <c r="K9" s="30">
        <f>[23]Лист1!$M$17</f>
        <v>22.055</v>
      </c>
      <c r="L9" s="30">
        <f>[23]Лист1!$M$18</f>
        <v>0</v>
      </c>
      <c r="M9" s="30">
        <f>[23]Лист1!$M$11</f>
        <v>132.44</v>
      </c>
      <c r="N9" s="30">
        <f>[23]Лист1!$M$12</f>
        <v>99.33</v>
      </c>
      <c r="O9" s="30">
        <f>[23]Лист1!$M$13</f>
        <v>15.455</v>
      </c>
      <c r="P9" s="30">
        <f>[23]Лист1!$M$14</f>
        <v>0.11</v>
      </c>
      <c r="Q9" s="255" t="s">
        <v>88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1:30">
      <c r="A10" s="55"/>
      <c r="B10" s="38"/>
      <c r="C10" s="32"/>
      <c r="D10" s="33"/>
      <c r="E10" s="34"/>
      <c r="F10" s="34"/>
      <c r="G10" s="35"/>
      <c r="H10" s="34"/>
      <c r="I10" s="30"/>
      <c r="J10" s="30"/>
      <c r="K10" s="30"/>
      <c r="L10" s="30"/>
      <c r="M10" s="30"/>
      <c r="N10" s="30"/>
      <c r="O10" s="30"/>
      <c r="P10" s="30"/>
      <c r="Q10" s="186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ht="13.5" thickBot="1">
      <c r="A11" s="70"/>
      <c r="B11" s="38"/>
      <c r="C11" s="32"/>
      <c r="D11" s="33"/>
      <c r="E11" s="34"/>
      <c r="F11" s="34"/>
      <c r="G11" s="35"/>
      <c r="H11" s="34"/>
      <c r="I11" s="30"/>
      <c r="J11" s="30"/>
      <c r="K11" s="30"/>
      <c r="L11" s="30"/>
      <c r="M11" s="30"/>
      <c r="N11" s="30"/>
      <c r="O11" s="30"/>
      <c r="P11" s="30"/>
      <c r="Q11" s="186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0" ht="13.5" thickBot="1">
      <c r="A12" s="56" t="s">
        <v>143</v>
      </c>
      <c r="B12" s="57"/>
      <c r="C12" s="58"/>
      <c r="D12" s="59">
        <f>D6+D7+D8+D9+D10+D11</f>
        <v>550</v>
      </c>
      <c r="E12" s="60">
        <f>E6+E7+E8+E9+E10+E11</f>
        <v>21.250000000000004</v>
      </c>
      <c r="F12" s="60">
        <f t="shared" ref="F12:P12" si="0">F6+F7+F8+F9+F10+F11</f>
        <v>16.350000000000001</v>
      </c>
      <c r="G12" s="60">
        <f t="shared" si="0"/>
        <v>78.62</v>
      </c>
      <c r="H12" s="60">
        <f t="shared" si="0"/>
        <v>547.54999999999995</v>
      </c>
      <c r="I12" s="60">
        <f t="shared" si="0"/>
        <v>0.21400000000000002</v>
      </c>
      <c r="J12" s="60">
        <f t="shared" si="0"/>
        <v>1.17</v>
      </c>
      <c r="K12" s="60">
        <f t="shared" si="0"/>
        <v>111.72300000000001</v>
      </c>
      <c r="L12" s="60">
        <f t="shared" si="0"/>
        <v>1.4840000000000002</v>
      </c>
      <c r="M12" s="60">
        <f t="shared" si="0"/>
        <v>474.14</v>
      </c>
      <c r="N12" s="60">
        <f t="shared" si="0"/>
        <v>381.13</v>
      </c>
      <c r="O12" s="60">
        <f t="shared" si="0"/>
        <v>62.654999999999994</v>
      </c>
      <c r="P12" s="60">
        <f t="shared" si="0"/>
        <v>2.3879999999999999</v>
      </c>
      <c r="Q12" s="77" t="s">
        <v>84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30" s="194" customFormat="1" ht="12" thickBot="1">
      <c r="A13" s="187"/>
      <c r="B13" s="188"/>
      <c r="C13" s="189" t="s">
        <v>115</v>
      </c>
      <c r="D13" s="190"/>
      <c r="E13" s="191">
        <v>90</v>
      </c>
      <c r="F13" s="191">
        <v>92</v>
      </c>
      <c r="G13" s="191">
        <v>383</v>
      </c>
      <c r="H13" s="191">
        <v>2720</v>
      </c>
      <c r="I13" s="192"/>
      <c r="J13" s="192"/>
      <c r="K13" s="192"/>
      <c r="L13" s="192"/>
      <c r="M13" s="192"/>
      <c r="N13" s="192"/>
      <c r="O13" s="192"/>
      <c r="P13" s="192"/>
      <c r="Q13" s="78" t="s">
        <v>85</v>
      </c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</row>
    <row r="14" spans="1:30" ht="13.5" thickBot="1">
      <c r="A14" s="56"/>
      <c r="B14" s="57"/>
      <c r="C14" s="67" t="s">
        <v>116</v>
      </c>
      <c r="D14" s="59"/>
      <c r="E14" s="68">
        <f>E12*100/E13</f>
        <v>23.611111111111118</v>
      </c>
      <c r="F14" s="68">
        <f>F12*100/F13</f>
        <v>17.771739130434785</v>
      </c>
      <c r="G14" s="68">
        <f>G12*100/G13</f>
        <v>20.527415143603132</v>
      </c>
      <c r="H14" s="68">
        <f>H12*100/H13</f>
        <v>20.130514705882351</v>
      </c>
      <c r="I14" s="60"/>
      <c r="J14" s="60"/>
      <c r="K14" s="60"/>
      <c r="L14" s="60"/>
      <c r="M14" s="60"/>
      <c r="N14" s="60"/>
      <c r="O14" s="60"/>
      <c r="P14" s="60"/>
      <c r="Q14" s="79" t="s">
        <v>92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30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</row>
  </sheetData>
  <mergeCells count="12">
    <mergeCell ref="M4:P4"/>
    <mergeCell ref="A1:Q1"/>
    <mergeCell ref="Q4:Q5"/>
    <mergeCell ref="A4:A5"/>
    <mergeCell ref="B4:B5"/>
    <mergeCell ref="F4:F5"/>
    <mergeCell ref="C4:C5"/>
    <mergeCell ref="D4:D5"/>
    <mergeCell ref="E4:E5"/>
    <mergeCell ref="G4:G5"/>
    <mergeCell ref="H4:H5"/>
    <mergeCell ref="I4:L4"/>
  </mergeCells>
  <phoneticPr fontId="3" type="noConversion"/>
  <pageMargins left="0.75" right="0.75" top="1" bottom="1" header="0.5" footer="0.5"/>
  <pageSetup paperSize="9" scale="8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5"/>
  <sheetViews>
    <sheetView workbookViewId="0">
      <selection sqref="A1:Q14"/>
    </sheetView>
  </sheetViews>
  <sheetFormatPr defaultRowHeight="12.75"/>
  <cols>
    <col min="1" max="1" width="6.28515625" style="9" customWidth="1"/>
    <col min="2" max="2" width="4" style="9" bestFit="1" customWidth="1"/>
    <col min="3" max="3" width="34.5703125" style="9" customWidth="1"/>
    <col min="4" max="4" width="4" style="9" bestFit="1" customWidth="1"/>
    <col min="5" max="6" width="5.42578125" style="9" bestFit="1" customWidth="1"/>
    <col min="7" max="8" width="6.42578125" style="9" bestFit="1" customWidth="1"/>
    <col min="9" max="10" width="4.42578125" style="9" bestFit="1" customWidth="1"/>
    <col min="11" max="11" width="5.42578125" style="9" bestFit="1" customWidth="1"/>
    <col min="12" max="12" width="4.42578125" style="9" bestFit="1" customWidth="1"/>
    <col min="13" max="15" width="6.42578125" style="9" bestFit="1" customWidth="1"/>
    <col min="16" max="16" width="4.42578125" style="9" bestFit="1" customWidth="1"/>
    <col min="17" max="17" width="40.7109375" style="9" bestFit="1" customWidth="1"/>
  </cols>
  <sheetData>
    <row r="1" spans="1:30" s="10" customFormat="1">
      <c r="A1" s="202" t="s">
        <v>129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</row>
    <row r="2" spans="1:30" s="9" customFormat="1">
      <c r="A2" s="9" t="s">
        <v>73</v>
      </c>
      <c r="B2" s="10"/>
    </row>
    <row r="3" spans="1:30" s="9" customFormat="1" ht="13.5" thickBot="1"/>
    <row r="4" spans="1:30" s="8" customFormat="1" ht="12.75" customHeight="1">
      <c r="A4" s="205" t="s">
        <v>105</v>
      </c>
      <c r="B4" s="207" t="s">
        <v>106</v>
      </c>
      <c r="C4" s="209" t="s">
        <v>107</v>
      </c>
      <c r="D4" s="207" t="s">
        <v>108</v>
      </c>
      <c r="E4" s="207" t="s">
        <v>110</v>
      </c>
      <c r="F4" s="207" t="s">
        <v>111</v>
      </c>
      <c r="G4" s="207" t="s">
        <v>112</v>
      </c>
      <c r="H4" s="207" t="s">
        <v>109</v>
      </c>
      <c r="I4" s="211" t="s">
        <v>0</v>
      </c>
      <c r="J4" s="212"/>
      <c r="K4" s="212"/>
      <c r="L4" s="213"/>
      <c r="M4" s="211" t="s">
        <v>5</v>
      </c>
      <c r="N4" s="212"/>
      <c r="O4" s="212"/>
      <c r="P4" s="213"/>
      <c r="Q4" s="203" t="s">
        <v>83</v>
      </c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1:30" s="8" customFormat="1" ht="13.5" thickBot="1">
      <c r="A5" s="206"/>
      <c r="B5" s="208"/>
      <c r="C5" s="210"/>
      <c r="D5" s="208"/>
      <c r="E5" s="208"/>
      <c r="F5" s="208"/>
      <c r="G5" s="208"/>
      <c r="H5" s="208"/>
      <c r="I5" s="85" t="s">
        <v>1</v>
      </c>
      <c r="J5" s="85" t="s">
        <v>2</v>
      </c>
      <c r="K5" s="85" t="s">
        <v>3</v>
      </c>
      <c r="L5" s="85" t="s">
        <v>4</v>
      </c>
      <c r="M5" s="86" t="s">
        <v>6</v>
      </c>
      <c r="N5" s="85" t="s">
        <v>7</v>
      </c>
      <c r="O5" s="85" t="s">
        <v>8</v>
      </c>
      <c r="P5" s="85" t="s">
        <v>9</v>
      </c>
      <c r="Q5" s="20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1:30" s="8" customFormat="1" ht="25.5">
      <c r="A6" s="84" t="s">
        <v>80</v>
      </c>
      <c r="B6" s="37">
        <v>149</v>
      </c>
      <c r="C6" s="48" t="s">
        <v>167</v>
      </c>
      <c r="D6" s="49">
        <v>100</v>
      </c>
      <c r="E6" s="50">
        <f>[8]Лист1!$J$35</f>
        <v>0.8</v>
      </c>
      <c r="F6" s="50">
        <f>[8]Лист1!$J$36</f>
        <v>0.1</v>
      </c>
      <c r="G6" s="50">
        <f>[8]Лист1!$J$37</f>
        <v>1.7</v>
      </c>
      <c r="H6" s="51">
        <f>[8]Лист1!$J$38</f>
        <v>11</v>
      </c>
      <c r="I6" s="52">
        <f>[8]Лист1!$M$40</f>
        <v>0.02</v>
      </c>
      <c r="J6" s="52">
        <f>[8]Лист1!$M$39</f>
        <v>2.5</v>
      </c>
      <c r="K6" s="52">
        <f>[8]Лист1!$M$41</f>
        <v>0</v>
      </c>
      <c r="L6" s="52">
        <f>[8]Лист1!$M$42</f>
        <v>0.1</v>
      </c>
      <c r="M6" s="52">
        <f>[8]Лист1!$M$35</f>
        <v>23.2</v>
      </c>
      <c r="N6" s="52">
        <f>[8]Лист1!$M$36</f>
        <v>24.2</v>
      </c>
      <c r="O6" s="52">
        <f>[8]Лист1!$M$37</f>
        <v>14.1</v>
      </c>
      <c r="P6" s="52">
        <f>[8]Лист1!$M$38</f>
        <v>0.6</v>
      </c>
      <c r="Q6" s="196" t="s">
        <v>165</v>
      </c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</row>
    <row r="7" spans="1:30" ht="22.5">
      <c r="A7" s="55"/>
      <c r="B7" s="39">
        <v>348</v>
      </c>
      <c r="C7" s="40" t="s">
        <v>169</v>
      </c>
      <c r="D7" s="41">
        <v>100</v>
      </c>
      <c r="E7" s="42">
        <f>[24]Лист1!$J$24</f>
        <v>13</v>
      </c>
      <c r="F7" s="42">
        <f>[24]Лист1!$J$25</f>
        <v>10</v>
      </c>
      <c r="G7" s="42">
        <f>[24]Лист1!$J$26</f>
        <v>7</v>
      </c>
      <c r="H7" s="42">
        <f>[24]Лист1!$J$27</f>
        <v>170</v>
      </c>
      <c r="I7" s="31">
        <f>[24]Лист1!$M$29</f>
        <v>7.0000000000000007E-2</v>
      </c>
      <c r="J7" s="31">
        <f>[24]Лист1!$M$28</f>
        <v>0</v>
      </c>
      <c r="K7" s="31">
        <f>[24]Лист1!$M$30</f>
        <v>0</v>
      </c>
      <c r="L7" s="31">
        <f>[24]Лист1!$M$31</f>
        <v>1.35</v>
      </c>
      <c r="M7" s="31">
        <f>[24]Лист1!$M$24</f>
        <v>12</v>
      </c>
      <c r="N7" s="31">
        <f>[24]Лист1!$M$25</f>
        <v>108</v>
      </c>
      <c r="O7" s="31">
        <f>[24]Лист1!$M$26</f>
        <v>15</v>
      </c>
      <c r="P7" s="31">
        <f>[24]Лист1!$M$27</f>
        <v>1.7800000000000002</v>
      </c>
      <c r="Q7" s="254" t="s">
        <v>171</v>
      </c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1:30">
      <c r="A8" s="55"/>
      <c r="B8" s="38">
        <v>211</v>
      </c>
      <c r="C8" s="32" t="s">
        <v>170</v>
      </c>
      <c r="D8" s="33">
        <v>200</v>
      </c>
      <c r="E8" s="34">
        <f>[25]Лист1!$J$43</f>
        <v>4.6879999999999997</v>
      </c>
      <c r="F8" s="34">
        <f>[25]Лист1!$J$44</f>
        <v>4.2</v>
      </c>
      <c r="G8" s="34">
        <f>[25]Лист1!$J$45</f>
        <v>45.951999999999998</v>
      </c>
      <c r="H8" s="34">
        <f>[25]Лист1!$J$46</f>
        <v>240</v>
      </c>
      <c r="I8" s="30">
        <f>[25]Лист1!$M$48</f>
        <v>4.8000000000000001E-2</v>
      </c>
      <c r="J8" s="30">
        <f>[25]Лист1!$M$47</f>
        <v>0.56000000000000005</v>
      </c>
      <c r="K8" s="30">
        <f>[25]Лист1!$M$49</f>
        <v>18.536000000000001</v>
      </c>
      <c r="L8" s="30">
        <f>[25]Лист1!$M$50</f>
        <v>0.39200000000000002</v>
      </c>
      <c r="M8" s="30">
        <f>[25]Лист1!$M$43</f>
        <v>18.536000000000001</v>
      </c>
      <c r="N8" s="30">
        <f>[25]Лист1!$M$44</f>
        <v>107.32</v>
      </c>
      <c r="O8" s="30">
        <f>[25]Лист1!$M$45</f>
        <v>39.024000000000001</v>
      </c>
      <c r="P8" s="30">
        <f>[25]Лист1!$M$46</f>
        <v>0.24</v>
      </c>
      <c r="Q8" s="186" t="s">
        <v>172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>
      <c r="A9" s="55"/>
      <c r="B9" s="38">
        <v>114</v>
      </c>
      <c r="C9" s="32" t="s">
        <v>13</v>
      </c>
      <c r="D9" s="33">
        <v>30</v>
      </c>
      <c r="E9" s="34">
        <v>2.37</v>
      </c>
      <c r="F9" s="34">
        <v>0.3</v>
      </c>
      <c r="G9" s="34">
        <v>14.49</v>
      </c>
      <c r="H9" s="34">
        <v>70.5</v>
      </c>
      <c r="I9" s="30">
        <v>0.06</v>
      </c>
      <c r="J9" s="30">
        <v>0</v>
      </c>
      <c r="K9" s="30">
        <v>0.42749999999999999</v>
      </c>
      <c r="L9" s="30">
        <v>0.22500000000000001</v>
      </c>
      <c r="M9" s="30">
        <v>6.9</v>
      </c>
      <c r="N9" s="30">
        <v>22.5</v>
      </c>
      <c r="O9" s="30">
        <v>9.9</v>
      </c>
      <c r="P9" s="30">
        <v>0.56999999999999995</v>
      </c>
      <c r="Q9" s="186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1:30">
      <c r="A10" s="81"/>
      <c r="B10" s="38">
        <v>463</v>
      </c>
      <c r="C10" s="32" t="s">
        <v>162</v>
      </c>
      <c r="D10" s="33">
        <v>180</v>
      </c>
      <c r="E10" s="34">
        <f>[26]Лист1!$J$11</f>
        <v>2.88</v>
      </c>
      <c r="F10" s="34">
        <f>[26]Лист1!$J$12</f>
        <v>3.24</v>
      </c>
      <c r="G10" s="34">
        <f>[26]Лист1!$J$13</f>
        <v>17.28</v>
      </c>
      <c r="H10" s="35">
        <f>[26]Лист1!$J$14</f>
        <v>109.8</v>
      </c>
      <c r="I10" s="30">
        <f>[26]Лист1!$M$16</f>
        <v>1.8000000000000002E-2</v>
      </c>
      <c r="J10" s="30">
        <f>[26]Лист1!$M$15</f>
        <v>0.18</v>
      </c>
      <c r="K10" s="30">
        <f>[26]Лист1!$M$17</f>
        <v>13.68</v>
      </c>
      <c r="L10" s="30">
        <f>[26]Лист1!$M$18</f>
        <v>7.2000000000000008E-2</v>
      </c>
      <c r="M10" s="30">
        <f>[26]Лист1!$M$11</f>
        <v>97.2</v>
      </c>
      <c r="N10" s="30">
        <f>[26]Лист1!$M$12</f>
        <v>76.860000000000014</v>
      </c>
      <c r="O10" s="30">
        <f>[26]Лист1!$M$13</f>
        <v>19.170000000000002</v>
      </c>
      <c r="P10" s="30">
        <f>[26]Лист1!$M$14</f>
        <v>0.52199999999999991</v>
      </c>
      <c r="Q10" s="186" t="s">
        <v>163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ht="13.5" thickBot="1">
      <c r="A11" s="55"/>
      <c r="B11" s="38"/>
      <c r="C11" s="32"/>
      <c r="D11" s="33"/>
      <c r="E11" s="34"/>
      <c r="F11" s="34"/>
      <c r="G11" s="34"/>
      <c r="H11" s="35"/>
      <c r="I11" s="30"/>
      <c r="J11" s="30"/>
      <c r="K11" s="30"/>
      <c r="L11" s="30"/>
      <c r="M11" s="30"/>
      <c r="N11" s="30"/>
      <c r="O11" s="30"/>
      <c r="P11" s="30"/>
      <c r="Q11" s="186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0" ht="13.5" thickBot="1">
      <c r="A12" s="56" t="s">
        <v>143</v>
      </c>
      <c r="B12" s="57"/>
      <c r="C12" s="58"/>
      <c r="D12" s="59">
        <f>D6+D7+D8+D9+D10+D11</f>
        <v>610</v>
      </c>
      <c r="E12" s="60">
        <f>E6+E7+E8+E9+E10+E11</f>
        <v>23.738</v>
      </c>
      <c r="F12" s="60">
        <f t="shared" ref="F12:P12" si="0">F6+F7+F8+F9+F10+F11</f>
        <v>17.840000000000003</v>
      </c>
      <c r="G12" s="60">
        <f t="shared" si="0"/>
        <v>86.421999999999997</v>
      </c>
      <c r="H12" s="60">
        <f t="shared" si="0"/>
        <v>601.29999999999995</v>
      </c>
      <c r="I12" s="60">
        <f t="shared" si="0"/>
        <v>0.21600000000000003</v>
      </c>
      <c r="J12" s="60">
        <f t="shared" si="0"/>
        <v>3.24</v>
      </c>
      <c r="K12" s="60">
        <f t="shared" si="0"/>
        <v>32.643500000000003</v>
      </c>
      <c r="L12" s="60">
        <f t="shared" si="0"/>
        <v>2.1390000000000002</v>
      </c>
      <c r="M12" s="60">
        <f t="shared" si="0"/>
        <v>157.83600000000001</v>
      </c>
      <c r="N12" s="60">
        <f t="shared" si="0"/>
        <v>338.88</v>
      </c>
      <c r="O12" s="60">
        <f t="shared" si="0"/>
        <v>97.194000000000003</v>
      </c>
      <c r="P12" s="60">
        <f t="shared" si="0"/>
        <v>3.7119999999999997</v>
      </c>
      <c r="Q12" s="77" t="s">
        <v>84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30" s="194" customFormat="1" ht="12" thickBot="1">
      <c r="A13" s="187"/>
      <c r="B13" s="188"/>
      <c r="C13" s="189" t="s">
        <v>115</v>
      </c>
      <c r="D13" s="190"/>
      <c r="E13" s="191">
        <v>90</v>
      </c>
      <c r="F13" s="191">
        <v>92</v>
      </c>
      <c r="G13" s="191">
        <v>383</v>
      </c>
      <c r="H13" s="191">
        <v>2720</v>
      </c>
      <c r="I13" s="192"/>
      <c r="J13" s="192"/>
      <c r="K13" s="192"/>
      <c r="L13" s="192"/>
      <c r="M13" s="192"/>
      <c r="N13" s="192"/>
      <c r="O13" s="192"/>
      <c r="P13" s="192"/>
      <c r="Q13" s="78" t="s">
        <v>85</v>
      </c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</row>
    <row r="14" spans="1:30" ht="13.5" thickBot="1">
      <c r="A14" s="56"/>
      <c r="B14" s="57"/>
      <c r="C14" s="67" t="s">
        <v>116</v>
      </c>
      <c r="D14" s="59"/>
      <c r="E14" s="68">
        <f>E12*100/E13</f>
        <v>26.375555555555557</v>
      </c>
      <c r="F14" s="68">
        <f>F12*100/F13</f>
        <v>19.391304347826093</v>
      </c>
      <c r="G14" s="68">
        <f>G12*100/G13</f>
        <v>22.564490861618797</v>
      </c>
      <c r="H14" s="68">
        <f>H12*100/H13</f>
        <v>22.106617647058822</v>
      </c>
      <c r="I14" s="60"/>
      <c r="J14" s="60"/>
      <c r="K14" s="60"/>
      <c r="L14" s="60"/>
      <c r="M14" s="60"/>
      <c r="N14" s="60"/>
      <c r="O14" s="60"/>
      <c r="P14" s="60"/>
      <c r="Q14" s="79" t="s">
        <v>92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30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</sheetData>
  <mergeCells count="12">
    <mergeCell ref="M4:P4"/>
    <mergeCell ref="A1:Q1"/>
    <mergeCell ref="A4:A5"/>
    <mergeCell ref="B4:B5"/>
    <mergeCell ref="F4:F5"/>
    <mergeCell ref="Q4:Q5"/>
    <mergeCell ref="C4:C5"/>
    <mergeCell ref="D4:D5"/>
    <mergeCell ref="E4:E5"/>
    <mergeCell ref="G4:G5"/>
    <mergeCell ref="H4:H5"/>
    <mergeCell ref="I4:L4"/>
  </mergeCells>
  <phoneticPr fontId="3" type="noConversion"/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1день</vt:lpstr>
      <vt:lpstr>2 день</vt:lpstr>
      <vt:lpstr>3 день </vt:lpstr>
      <vt:lpstr>4 день  </vt:lpstr>
      <vt:lpstr>5 день</vt:lpstr>
      <vt:lpstr>6 день </vt:lpstr>
      <vt:lpstr>7 день</vt:lpstr>
      <vt:lpstr>8 день </vt:lpstr>
      <vt:lpstr>9 день </vt:lpstr>
      <vt:lpstr>10 день </vt:lpstr>
      <vt:lpstr>среднесуточный</vt:lpstr>
      <vt:lpstr>хим состав</vt:lpstr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ХЗ</dc:creator>
  <cp:lastModifiedBy>Ольга</cp:lastModifiedBy>
  <cp:lastPrinted>2024-11-14T06:59:18Z</cp:lastPrinted>
  <dcterms:created xsi:type="dcterms:W3CDTF">2018-09-20T08:11:13Z</dcterms:created>
  <dcterms:modified xsi:type="dcterms:W3CDTF">2024-11-14T07:00:29Z</dcterms:modified>
</cp:coreProperties>
</file>